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activeTab="0"/>
  </bookViews>
  <sheets>
    <sheet name="Krycí list rozpočtu" sheetId="1" r:id="rId1"/>
    <sheet name="Stavební rozpočet - součet" sheetId="2" r:id="rId2"/>
    <sheet name="Krycí list rozpočtu (SO-01)" sheetId="3" r:id="rId3"/>
    <sheet name="Krycí list rozpočtu (SO-02)" sheetId="4" r:id="rId4"/>
    <sheet name="Krycí list rozpočtu (SO-03)" sheetId="5" r:id="rId5"/>
    <sheet name="Stavební rozpočet" sheetId="6" r:id="rId6"/>
  </sheets>
  <definedNames/>
  <calcPr fullCalcOnLoad="1"/>
</workbook>
</file>

<file path=xl/sharedStrings.xml><?xml version="1.0" encoding="utf-8"?>
<sst xmlns="http://schemas.openxmlformats.org/spreadsheetml/2006/main" count="5681" uniqueCount="1690">
  <si>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</si>
  <si>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</si>
  <si>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</si>
  <si>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</si>
  <si>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</si>
  <si>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</si>
  <si>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</si>
  <si>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</si>
  <si>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</si>
  <si>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</si>
  <si>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</si>
  <si>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</si>
  <si>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</si>
  <si>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</si>
  <si>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</si>
  <si>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</si>
  <si>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</si>
  <si>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</si>
  <si>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</si>
  <si>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</si>
  <si>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</si>
  <si>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</si>
  <si>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</si>
  <si>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</si>
  <si>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</si>
  <si>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</si>
  <si>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</si>
  <si>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</si>
  <si>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</si>
  <si>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</si>
  <si>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</si>
  <si>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</si>
  <si>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</si>
  <si>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</si>
  <si>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</si>
  <si>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</si>
  <si>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</si>
  <si>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</si>
  <si>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</si>
  <si>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</si>
  <si>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</si>
  <si>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</si>
  <si>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</si>
  <si>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</si>
  <si>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</si>
  <si>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</si>
  <si>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</si>
  <si>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</si>
  <si>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</si>
  <si>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</si>
  <si>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</si>
  <si>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</si>
  <si>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</si>
  <si>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</si>
  <si>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</si>
  <si>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</si>
  <si>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</si>
  <si>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</si>
  <si>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</si>
  <si>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</si>
  <si>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</si>
  <si>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</si>
  <si>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</si>
  <si>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</si>
  <si>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</si>
  <si>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</si>
  <si>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</si>
  <si>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</si>
  <si>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</si>
  <si>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</si>
  <si>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</si>
  <si>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</si>
  <si>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</si>
  <si>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</si>
  <si>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</si>
  <si>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</si>
  <si>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</si>
  <si>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</si>
  <si>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</si>
  <si>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</si>
  <si>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</si>
  <si>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</si>
  <si>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</si>
  <si>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</si>
  <si>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</si>
  <si>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</si>
  <si>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</si>
  <si>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</si>
  <si>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</si>
  <si>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</si>
  <si>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</si>
  <si>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</si>
  <si>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</si>
  <si>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</si>
  <si>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</si>
  <si>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</si>
  <si>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</si>
  <si>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</si>
  <si>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</si>
  <si>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</si>
  <si>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</si>
  <si>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</si>
  <si>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</si>
  <si>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</si>
  <si>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</si>
  <si>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</si>
  <si>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</si>
  <si>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</si>
  <si>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</si>
  <si>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</si>
  <si>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</si>
  <si>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</si>
  <si>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</si>
  <si>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</si>
  <si>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</si>
  <si>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</si>
  <si>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</si>
  <si>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</si>
  <si>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</si>
  <si>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</si>
  <si>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</si>
  <si>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</si>
  <si>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</si>
  <si>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</si>
  <si>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</si>
  <si>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</si>
  <si>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</si>
  <si>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</si>
  <si>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</si>
  <si>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</si>
  <si>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</si>
  <si>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</si>
  <si>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</si>
  <si>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</si>
  <si>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</si>
  <si>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</si>
  <si>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</si>
  <si>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</si>
  <si>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</si>
  <si>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</si>
  <si>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</si>
  <si>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</si>
  <si>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</si>
  <si>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</si>
  <si>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</si>
  <si>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</si>
  <si>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</si>
  <si>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</si>
  <si>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</si>
  <si>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</si>
  <si>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</si>
  <si>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</si>
  <si>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</si>
  <si>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</si>
  <si>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</si>
  <si>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</si>
  <si>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</si>
  <si>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</si>
  <si>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</si>
  <si>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</si>
  <si>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</si>
  <si>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</si>
  <si>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</si>
  <si>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</si>
  <si>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</si>
  <si>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</si>
  <si>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</si>
  <si>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</si>
  <si>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</si>
  <si>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</si>
  <si>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</si>
  <si>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</si>
  <si>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</si>
  <si>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</si>
  <si>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</si>
  <si>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</si>
  <si>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</si>
  <si>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</si>
  <si>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</si>
  <si>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</si>
  <si>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</si>
  <si>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</si>
  <si>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</si>
  <si>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</si>
  <si>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</si>
  <si>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</si>
  <si>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</si>
  <si>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</si>
  <si>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</si>
  <si>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</si>
  <si>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</si>
  <si>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</si>
  <si>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</si>
  <si>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</si>
  <si>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</si>
  <si>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</si>
  <si>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</si>
  <si>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</si>
  <si>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</si>
  <si>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</si>
  <si>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</si>
  <si>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</si>
  <si>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</si>
  <si>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</si>
  <si>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</si>
  <si>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</si>
  <si>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</si>
  <si>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</si>
  <si>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</si>
  <si>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</si>
  <si>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</si>
  <si>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</si>
  <si>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</si>
  <si>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</si>
  <si>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</si>
  <si>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</si>
  <si>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</si>
  <si>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</si>
  <si>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</si>
  <si>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</si>
  <si>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</si>
  <si>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</si>
  <si>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</si>
  <si>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</si>
  <si>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</si>
  <si>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</si>
  <si>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</si>
  <si>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</si>
  <si>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</si>
  <si>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</si>
  <si>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</si>
  <si>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</si>
  <si>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</si>
  <si>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</si>
  <si>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</si>
  <si>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</si>
  <si>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</si>
  <si>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</si>
  <si>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</si>
  <si>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</si>
  <si>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</si>
  <si>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</si>
  <si>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</si>
  <si>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</si>
  <si>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</si>
  <si>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</si>
  <si>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</si>
  <si>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</si>
  <si>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</si>
  <si>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</si>
  <si>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</si>
  <si>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</si>
  <si>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</si>
  <si>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</si>
  <si>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</si>
  <si>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</si>
  <si>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</si>
  <si>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</si>
  <si>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</si>
  <si>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</si>
  <si>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</si>
  <si>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</si>
  <si>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</si>
  <si>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</si>
  <si>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</si>
  <si>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</si>
  <si>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</si>
  <si>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</si>
  <si>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</si>
  <si>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</si>
  <si>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</si>
  <si>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</si>
  <si>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</si>
  <si>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</si>
  <si>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</si>
  <si>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</si>
  <si>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</si>
  <si>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</si>
  <si>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</si>
  <si>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</si>
  <si>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</si>
  <si>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Poznámka:</t>
  </si>
  <si>
    <t>Objekt</t>
  </si>
  <si>
    <t>SO-01</t>
  </si>
  <si>
    <t>SO-02</t>
  </si>
  <si>
    <t>Kód</t>
  </si>
  <si>
    <t>M000VD</t>
  </si>
  <si>
    <t>0001VD</t>
  </si>
  <si>
    <t>M005VD</t>
  </si>
  <si>
    <t>005121010RVD</t>
  </si>
  <si>
    <t>005121020RVD</t>
  </si>
  <si>
    <t>005121030RVD</t>
  </si>
  <si>
    <t>005122010RVD</t>
  </si>
  <si>
    <t>005124010RVD</t>
  </si>
  <si>
    <t>005124011RVD</t>
  </si>
  <si>
    <t>113106121R00</t>
  </si>
  <si>
    <t>Dokumentace:</t>
  </si>
  <si>
    <t>113106231R00</t>
  </si>
  <si>
    <t>139601101R00</t>
  </si>
  <si>
    <t>162601102R00</t>
  </si>
  <si>
    <t>162706119R00</t>
  </si>
  <si>
    <t>174101102R00</t>
  </si>
  <si>
    <t>RTS komentář:</t>
  </si>
  <si>
    <t>180402111R00</t>
  </si>
  <si>
    <t>00572400</t>
  </si>
  <si>
    <t>180VD</t>
  </si>
  <si>
    <t>180_0001VD</t>
  </si>
  <si>
    <t>199000002R00</t>
  </si>
  <si>
    <t>289970111R00</t>
  </si>
  <si>
    <t>342264011RT1</t>
  </si>
  <si>
    <t>342264098RT1</t>
  </si>
  <si>
    <t>596811111RT4</t>
  </si>
  <si>
    <t>596215041R00</t>
  </si>
  <si>
    <t>596291113R00</t>
  </si>
  <si>
    <t>596831111R00</t>
  </si>
  <si>
    <t>602011188001</t>
  </si>
  <si>
    <t>602011191R00</t>
  </si>
  <si>
    <t>602022189RT01</t>
  </si>
  <si>
    <t>602016195RT01</t>
  </si>
  <si>
    <t>612479113RT1</t>
  </si>
  <si>
    <t>610991111R00</t>
  </si>
  <si>
    <t>6206VD</t>
  </si>
  <si>
    <t>622904112R00</t>
  </si>
  <si>
    <t>620991121R00</t>
  </si>
  <si>
    <t>622474125R00</t>
  </si>
  <si>
    <t>622300141R00</t>
  </si>
  <si>
    <t>283759201RT01</t>
  </si>
  <si>
    <t>622311113R00</t>
  </si>
  <si>
    <t>622391113R00</t>
  </si>
  <si>
    <t>622481292R00</t>
  </si>
  <si>
    <t>283502835</t>
  </si>
  <si>
    <t>283502233</t>
  </si>
  <si>
    <t>622412301R00</t>
  </si>
  <si>
    <t>620451121R00</t>
  </si>
  <si>
    <t>622322135RT01</t>
  </si>
  <si>
    <t>622322525RV1</t>
  </si>
  <si>
    <t>622318131RT01</t>
  </si>
  <si>
    <t>622322521RT01</t>
  </si>
  <si>
    <t>622322130RT03</t>
  </si>
  <si>
    <t>622322737RT01</t>
  </si>
  <si>
    <t>622391002R00</t>
  </si>
  <si>
    <t>622322150RT01</t>
  </si>
  <si>
    <t>622300171R00</t>
  </si>
  <si>
    <t>28355230</t>
  </si>
  <si>
    <t>621481211RT2</t>
  </si>
  <si>
    <t>622391003R00</t>
  </si>
  <si>
    <t>622322733RT01</t>
  </si>
  <si>
    <t>622481211RU1</t>
  </si>
  <si>
    <t>622300131RT01</t>
  </si>
  <si>
    <t>639561121R00</t>
  </si>
  <si>
    <t>639571110R00</t>
  </si>
  <si>
    <t>639571115R00</t>
  </si>
  <si>
    <t>631343891R00</t>
  </si>
  <si>
    <t>632451024R00</t>
  </si>
  <si>
    <t>648952421RT03</t>
  </si>
  <si>
    <t>711</t>
  </si>
  <si>
    <t>711112001001</t>
  </si>
  <si>
    <t>711212015001</t>
  </si>
  <si>
    <t>711823121RT5</t>
  </si>
  <si>
    <t>711823129RT5</t>
  </si>
  <si>
    <t>711400111RAA</t>
  </si>
  <si>
    <t>76410001T01VD</t>
  </si>
  <si>
    <t>998711202R00</t>
  </si>
  <si>
    <t>713</t>
  </si>
  <si>
    <t>713111221RK2</t>
  </si>
  <si>
    <t>713131130R00</t>
  </si>
  <si>
    <t>63151400.ART01</t>
  </si>
  <si>
    <t>713111130RT1</t>
  </si>
  <si>
    <t>63151378.ART01</t>
  </si>
  <si>
    <t>713105122R00</t>
  </si>
  <si>
    <t>713101122R00</t>
  </si>
  <si>
    <t>713100911R00</t>
  </si>
  <si>
    <t>713100921R00</t>
  </si>
  <si>
    <t>713111111RT1</t>
  </si>
  <si>
    <t>63151375.ART01</t>
  </si>
  <si>
    <t>998713202R00</t>
  </si>
  <si>
    <t>721</t>
  </si>
  <si>
    <t>721242804R00</t>
  </si>
  <si>
    <t>721242110RT2</t>
  </si>
  <si>
    <t>998721201R00</t>
  </si>
  <si>
    <t>725</t>
  </si>
  <si>
    <t>725524916R00</t>
  </si>
  <si>
    <t>998725201R00</t>
  </si>
  <si>
    <t>728</t>
  </si>
  <si>
    <t>728415811R00</t>
  </si>
  <si>
    <t>728415815R00</t>
  </si>
  <si>
    <t>728415111R00</t>
  </si>
  <si>
    <t>5534301660RT01</t>
  </si>
  <si>
    <t>998728201R00</t>
  </si>
  <si>
    <t>731</t>
  </si>
  <si>
    <t>731412152R00</t>
  </si>
  <si>
    <t>4848195831</t>
  </si>
  <si>
    <t>998731201R00</t>
  </si>
  <si>
    <t>762</t>
  </si>
  <si>
    <t>762343811R00</t>
  </si>
  <si>
    <t>762341630R00</t>
  </si>
  <si>
    <t>59533231RT01</t>
  </si>
  <si>
    <t>762333110R00</t>
  </si>
  <si>
    <t>60510056</t>
  </si>
  <si>
    <t>762395000R00</t>
  </si>
  <si>
    <t>762354804RT01</t>
  </si>
  <si>
    <t>762342812R00</t>
  </si>
  <si>
    <t>762342203RT2</t>
  </si>
  <si>
    <t>762342206RT4</t>
  </si>
  <si>
    <t>783782303R00</t>
  </si>
  <si>
    <t>762342814R00</t>
  </si>
  <si>
    <t>762811811R00</t>
  </si>
  <si>
    <t>998762202R00</t>
  </si>
  <si>
    <t>763</t>
  </si>
  <si>
    <t>763613231RT6</t>
  </si>
  <si>
    <t>763752111R00</t>
  </si>
  <si>
    <t>60725016</t>
  </si>
  <si>
    <t>60517110</t>
  </si>
  <si>
    <t>998763201R00</t>
  </si>
  <si>
    <t>764</t>
  </si>
  <si>
    <t>764816127RT3</t>
  </si>
  <si>
    <t>764410850R00</t>
  </si>
  <si>
    <t>764900035RAA</t>
  </si>
  <si>
    <t>764900040RAA</t>
  </si>
  <si>
    <t>764330210RFC</t>
  </si>
  <si>
    <t>764330212RFCRT01</t>
  </si>
  <si>
    <t>764352203R00</t>
  </si>
  <si>
    <t>764815503R00</t>
  </si>
  <si>
    <t>764815301RT01</t>
  </si>
  <si>
    <t>764352201R00</t>
  </si>
  <si>
    <t>764454203RT01</t>
  </si>
  <si>
    <t>764918912R00</t>
  </si>
  <si>
    <t>764817163RT2</t>
  </si>
  <si>
    <t>764918922R00</t>
  </si>
  <si>
    <t>764813140R00</t>
  </si>
  <si>
    <t>764331851R00</t>
  </si>
  <si>
    <t>764392852R00</t>
  </si>
  <si>
    <t>764391842R00</t>
  </si>
  <si>
    <t>764430850R00</t>
  </si>
  <si>
    <t>998764202R00</t>
  </si>
  <si>
    <t>765</t>
  </si>
  <si>
    <t>765312813R00</t>
  </si>
  <si>
    <t>765799301R00</t>
  </si>
  <si>
    <t>765901103R00</t>
  </si>
  <si>
    <t>765319222R00</t>
  </si>
  <si>
    <t>765313111RS1</t>
  </si>
  <si>
    <t>765313133R00</t>
  </si>
  <si>
    <t>765312692RT01</t>
  </si>
  <si>
    <t>765331871R00</t>
  </si>
  <si>
    <t>765318861R00</t>
  </si>
  <si>
    <t>765313188R00</t>
  </si>
  <si>
    <t>765799310RT01</t>
  </si>
  <si>
    <t>998765202R00</t>
  </si>
  <si>
    <t>766</t>
  </si>
  <si>
    <t>Poz_01</t>
  </si>
  <si>
    <t>Poz_02</t>
  </si>
  <si>
    <t>Poz_03</t>
  </si>
  <si>
    <t>Poz_04</t>
  </si>
  <si>
    <t>Poz_05</t>
  </si>
  <si>
    <t>Poz_06</t>
  </si>
  <si>
    <t>Poz_07</t>
  </si>
  <si>
    <t>Poz_08</t>
  </si>
  <si>
    <t>Poz_09</t>
  </si>
  <si>
    <t>Poz_10</t>
  </si>
  <si>
    <t>Poz_11</t>
  </si>
  <si>
    <t>Poz_13</t>
  </si>
  <si>
    <t>Poz_14</t>
  </si>
  <si>
    <t>Poz_15</t>
  </si>
  <si>
    <t>766601213RT2</t>
  </si>
  <si>
    <t>766697111RT01</t>
  </si>
  <si>
    <t>28349016RT01</t>
  </si>
  <si>
    <t>766624043R00</t>
  </si>
  <si>
    <t>6114050056_16</t>
  </si>
  <si>
    <t>611403056_16</t>
  </si>
  <si>
    <t>61140585</t>
  </si>
  <si>
    <t>61140602</t>
  </si>
  <si>
    <t>766624041R00</t>
  </si>
  <si>
    <t>6114050051_17</t>
  </si>
  <si>
    <t>611403051_17</t>
  </si>
  <si>
    <t>61140583.A</t>
  </si>
  <si>
    <t>766624042R00</t>
  </si>
  <si>
    <t>6114050055_18</t>
  </si>
  <si>
    <t>611403055_17</t>
  </si>
  <si>
    <t>61140584</t>
  </si>
  <si>
    <t>998766202R00</t>
  </si>
  <si>
    <t>767</t>
  </si>
  <si>
    <t>Poz_12</t>
  </si>
  <si>
    <t>767990010RAD</t>
  </si>
  <si>
    <t>767996802R00</t>
  </si>
  <si>
    <t>767900090RAA</t>
  </si>
  <si>
    <t>767591220R00</t>
  </si>
  <si>
    <t>4295330137</t>
  </si>
  <si>
    <t>998767202R00</t>
  </si>
  <si>
    <t>771</t>
  </si>
  <si>
    <t>771575109RT6</t>
  </si>
  <si>
    <t>597642402</t>
  </si>
  <si>
    <t>771101115R00</t>
  </si>
  <si>
    <t>58593066</t>
  </si>
  <si>
    <t>771475014RT01</t>
  </si>
  <si>
    <t>597813724RT1</t>
  </si>
  <si>
    <t>771249113R00</t>
  </si>
  <si>
    <t>771111133RT01</t>
  </si>
  <si>
    <t>283778536</t>
  </si>
  <si>
    <t>998771201R00</t>
  </si>
  <si>
    <t>783</t>
  </si>
  <si>
    <t>783781002R00</t>
  </si>
  <si>
    <t>783125230R00</t>
  </si>
  <si>
    <t>784</t>
  </si>
  <si>
    <t>784442001RT2</t>
  </si>
  <si>
    <t>787</t>
  </si>
  <si>
    <t>787300803R00</t>
  </si>
  <si>
    <t>787790010RT01</t>
  </si>
  <si>
    <t>998787202R00</t>
  </si>
  <si>
    <t>900      R001</t>
  </si>
  <si>
    <t>941955001R00</t>
  </si>
  <si>
    <t>941941041R00</t>
  </si>
  <si>
    <t>941941291R00</t>
  </si>
  <si>
    <t>941941842R00</t>
  </si>
  <si>
    <t>944944011R00</t>
  </si>
  <si>
    <t>944944081R00</t>
  </si>
  <si>
    <t>944944031R00</t>
  </si>
  <si>
    <t>944946111RT01</t>
  </si>
  <si>
    <t>952901111R00</t>
  </si>
  <si>
    <t>953981103R00</t>
  </si>
  <si>
    <t>953981102R00</t>
  </si>
  <si>
    <t>952902110R00</t>
  </si>
  <si>
    <t>953981401R00</t>
  </si>
  <si>
    <t>959VD</t>
  </si>
  <si>
    <t>9599VD</t>
  </si>
  <si>
    <t>965042141RT1</t>
  </si>
  <si>
    <t>965048250R00</t>
  </si>
  <si>
    <t>965081702R00</t>
  </si>
  <si>
    <t>965081713RT1</t>
  </si>
  <si>
    <t>967031732R00</t>
  </si>
  <si>
    <t>968061112R00</t>
  </si>
  <si>
    <t>968062245R00</t>
  </si>
  <si>
    <t>968062244R00</t>
  </si>
  <si>
    <t>968062246R00</t>
  </si>
  <si>
    <t>968062247R00</t>
  </si>
  <si>
    <t>968095001R00</t>
  </si>
  <si>
    <t>968061125R00</t>
  </si>
  <si>
    <t>968062456R00</t>
  </si>
  <si>
    <t>963016111R00</t>
  </si>
  <si>
    <t>965081712RT1</t>
  </si>
  <si>
    <t>976071111R00</t>
  </si>
  <si>
    <t>976072321R00</t>
  </si>
  <si>
    <t>M22</t>
  </si>
  <si>
    <t>210220101RT02</t>
  </si>
  <si>
    <t>210220101RT01</t>
  </si>
  <si>
    <t>210220401RT1IM</t>
  </si>
  <si>
    <t>210220301R03IM</t>
  </si>
  <si>
    <t>210220352RT1IM</t>
  </si>
  <si>
    <t>210220301R02IM</t>
  </si>
  <si>
    <t>210220302RT6IM</t>
  </si>
  <si>
    <t>210220301R03</t>
  </si>
  <si>
    <t>210220022R04IM</t>
  </si>
  <si>
    <t>210220022R02IM</t>
  </si>
  <si>
    <t>210220022RT1IM</t>
  </si>
  <si>
    <t>210220101RT51IM</t>
  </si>
  <si>
    <t>210220101RT31IM</t>
  </si>
  <si>
    <t>210220101RT31I</t>
  </si>
  <si>
    <t>210220101RT31</t>
  </si>
  <si>
    <t>220890202RT01</t>
  </si>
  <si>
    <t>220890202RT02</t>
  </si>
  <si>
    <t>220890202RT03</t>
  </si>
  <si>
    <t>M65</t>
  </si>
  <si>
    <t>650801153R00</t>
  </si>
  <si>
    <t>222323323RT01</t>
  </si>
  <si>
    <t>650101571R00</t>
  </si>
  <si>
    <t>M950VD</t>
  </si>
  <si>
    <t>950002VD</t>
  </si>
  <si>
    <t>950003VD</t>
  </si>
  <si>
    <t>622_001VD</t>
  </si>
  <si>
    <t>622_002VD</t>
  </si>
  <si>
    <t>S</t>
  </si>
  <si>
    <t>979011111R00</t>
  </si>
  <si>
    <t>979011121R00</t>
  </si>
  <si>
    <t>979082111R00</t>
  </si>
  <si>
    <t>979082121R00</t>
  </si>
  <si>
    <t>979081111R00</t>
  </si>
  <si>
    <t>979081121R00</t>
  </si>
  <si>
    <t>979990107R00</t>
  </si>
  <si>
    <t>999281211R00</t>
  </si>
  <si>
    <t>283189101_V06</t>
  </si>
  <si>
    <t>005124012RVD</t>
  </si>
  <si>
    <t>735</t>
  </si>
  <si>
    <t>730000000T01</t>
  </si>
  <si>
    <t>998735201R00</t>
  </si>
  <si>
    <t>Revitalizace BD Nádražní 7, 9 v Mikulově</t>
  </si>
  <si>
    <t>bytový dům</t>
  </si>
  <si>
    <t>Parcela č. 1948/1, 1949, k.ú.  Mikulov na Moravě [694193]</t>
  </si>
  <si>
    <t>Zkrácený popis</t>
  </si>
  <si>
    <t>Rozměry</t>
  </si>
  <si>
    <t>Obytná část - Hlavní způsobilé náklady</t>
  </si>
  <si>
    <t>Preambule</t>
  </si>
  <si>
    <t>!!!UPOZORNĚNÍ k nacenění rozpočtu, čtěte popis této položky!!!</t>
  </si>
  <si>
    <t>Rozpočet je zpracován dle projektové dokumentace "Revitalizace BD Nádražní 7, 9 v Mikulově
- technické zprávy
- výkresové části
Pro nacenění je nezbytné zohlední celou PD!!!!</t>
  </si>
  <si>
    <t>Vedlejší náklady</t>
  </si>
  <si>
    <t>Vybudování zařízení staveniště</t>
  </si>
  <si>
    <t>Provoz zařízení staveniště</t>
  </si>
  <si>
    <t>Odstranění zařízení staveniště</t>
  </si>
  <si>
    <t>Provoz objednatele</t>
  </si>
  <si>
    <t>Koordinační činnost</t>
  </si>
  <si>
    <t>Vytýčení sítí</t>
  </si>
  <si>
    <t>Přípravné a přidružené práce</t>
  </si>
  <si>
    <t>Rozebrání dlažeb z betonových dlaždic na sucho</t>
  </si>
  <si>
    <t>(15,0+15,0+5,50+2,1-4,75*2)*0,5</t>
  </si>
  <si>
    <t>4,75*2*0,6</t>
  </si>
  <si>
    <t>viz TZ a výkres č.01-06, Detaily</t>
  </si>
  <si>
    <t>Rozebrání dlažeb ze zámkové dlažby v kamenivu</t>
  </si>
  <si>
    <t>(11,88+3,94)*0,75</t>
  </si>
  <si>
    <t>Hloubené vykopávky</t>
  </si>
  <si>
    <t>Ruční výkop jam, rýh a šachet v hornině tř. 1 - 2</t>
  </si>
  <si>
    <t xml:space="preserve">s přehozením na vzdálenost do 5 m nebo s naložením na ruční dopravní prostředek    
</t>
  </si>
  <si>
    <t>19,75*0,5</t>
  </si>
  <si>
    <t>11,865*0,5</t>
  </si>
  <si>
    <t>14,98*0,75*0,5</t>
  </si>
  <si>
    <t>Přemístění výkopku</t>
  </si>
  <si>
    <t>Vodorovné přemístění výkopku z hor.1-4 do 5000 m</t>
  </si>
  <si>
    <t>21,425</t>
  </si>
  <si>
    <t>-21,425*0,7</t>
  </si>
  <si>
    <t>Příplatek za dalších 1000 m přemístění zemin</t>
  </si>
  <si>
    <t>6,4275*10; +10 km doprava;</t>
  </si>
  <si>
    <t>Konstrukce ze zemin</t>
  </si>
  <si>
    <t>Zásyp ruční se zhutněním</t>
  </si>
  <si>
    <t>21,425*0,70</t>
  </si>
  <si>
    <t>Položka obsahuje přemístění materiálu pro zásyp ze vzdálenosti do 15 m od hrany zasypávaného prostoru - bez použití strojů. Položka je určena pro sypané konstrukce vyplňující prostor pod úrovní terénu v prostorách, kde není možné použít těžkou mechanizaci</t>
  </si>
  <si>
    <t>viz TZ a výkres č.07-12, Detaily</t>
  </si>
  <si>
    <t>Povrchové úpravy terénu</t>
  </si>
  <si>
    <t>Založení trávníku parkového výsevem v rovině</t>
  </si>
  <si>
    <t>(15,0+15,0+5,50+2,1-4,75*2)*1,0</t>
  </si>
  <si>
    <t>15,0</t>
  </si>
  <si>
    <t>Směs travní parková I. běžná zátěž</t>
  </si>
  <si>
    <t>48,8/1000*25</t>
  </si>
  <si>
    <t>;ztratné 20%; 0,244</t>
  </si>
  <si>
    <t>PSV_1</t>
  </si>
  <si>
    <t>Odříznutí držáků hromosvodu</t>
  </si>
  <si>
    <t xml:space="preserve">soustava musí být vždy částečně funkční!    </t>
  </si>
  <si>
    <t>Hloubení pro podzemní stěny, ražení a hloubení důlní</t>
  </si>
  <si>
    <t>Poplatek za skládku horniny 1- 4</t>
  </si>
  <si>
    <t>6,4275</t>
  </si>
  <si>
    <t>Zpevňování hornin a konstrukcí</t>
  </si>
  <si>
    <t>Vrstva geotextilie  300g/m2</t>
  </si>
  <si>
    <t>ve skladbě okapního chodníku</t>
  </si>
  <si>
    <t>(0,55+4,51+0,52+0,74*2+0,6*2+0,52+8,97+0,51*2+0,74*2+0,6*2+4,7+5,66+15,23+0,55)*1*1,2;</t>
  </si>
  <si>
    <t>0,5*2,1*1*1,2</t>
  </si>
  <si>
    <t>Stěny a příčky</t>
  </si>
  <si>
    <t>Podhled sádrokartonový, dřevěná konstr., na trámy - U22</t>
  </si>
  <si>
    <t>desky standard tl. 12,5 mm, bez izolace</t>
  </si>
  <si>
    <t>(0,65*2+0,25*2*0,8+0,5*0,8)*24</t>
  </si>
  <si>
    <t>(0,35*2+0,25*2*0,55+0,5*0,55)*8</t>
  </si>
  <si>
    <t>(0,35*2+0,25*2*0,8+0,4*0,8)*1</t>
  </si>
  <si>
    <t>Položka je určena pro podhled sádrokartonový na dřevěnou konstrukci uchycenou přímo na trámy, z desek tl. 12,5 mm. V položce jsou zakalkulovány náklady na zřízení nosné konstrukce podhledu, dodávku a montáž desek tl. 12,5 mm včetně úpravy spár a rohů. V položce není zakalkulována povrchová úprava podhledu. V položce není zakalkulována dodávka ani montáž tepelné izolace. Tyto práce se oceňují dle sborníku 800 - 713 Izolace tepelné. Při použití desek jiné tloušťky než 12,5 mm a při provádění ploch jednotlivě do 10 m2 se použijí položky souboru 34226 - 409 Příplatky k cenám sádrokartonových podhledů části A 01 tohoto sborníku. V položce není zakalkulováno pomocné lešení</t>
  </si>
  <si>
    <t>Příplatek k podhledu sádrokart. za plochu do 10 m2</t>
  </si>
  <si>
    <t>pro plochy do 2 m2</t>
  </si>
  <si>
    <t>61,82</t>
  </si>
  <si>
    <t>Příplatek je určen k položkám podhledů sádrokartonových na dřevěnou i ocelovou konstrukci. V položce je zakalkulován rozdíl v pracnosti při provádění podhledů v malých plochách do 10 m2</t>
  </si>
  <si>
    <t>Kryty pozemních komunikací, letišť a ploch dlážděných (předlažby)</t>
  </si>
  <si>
    <t>Kladení dlaždic kom.pro pěší, lože z kameniva těž.</t>
  </si>
  <si>
    <t>včetně dlaždic betonových HBB 50/50/5 cm
včetně celé skladby lože dle PD</t>
  </si>
  <si>
    <t>(0,55+4,51+0,52+0,74*2+0,6*2+0,52+8,97+0,51*2+0,74*2+0,6*2+4,7+5,66+15,23+0,55)*0,5;</t>
  </si>
  <si>
    <t>(0,55+2,1)*0,5</t>
  </si>
  <si>
    <t>Kladení zámkové dlažby tl. 8 cm do drtě tl. 5 cm</t>
  </si>
  <si>
    <t xml:space="preserve">použití původní dlažby
</t>
  </si>
  <si>
    <t>(11,88+3,94)*0,5</t>
  </si>
  <si>
    <t>Od CÚ 2015/ II. není v jednotkové ceně započteno řezání dlaždic!!! Rozpočtuje se samostatnou položkou 596 29-1113.R00 Řezání zámkové dlažby tl. 80 mm. V položce jsou zakalkulovány i náklady na dodání hmot pro lože a na dodání materiálu na výplň spár. V položce nejsou zakalkulovány náklady na dodání zámkové dlažby, která se oceňuje ve specifikaci, ztratné se doporučuje ve výši 5%.</t>
  </si>
  <si>
    <t>Řezání zámkové dlažby tl. 80 mm</t>
  </si>
  <si>
    <t>14,78</t>
  </si>
  <si>
    <t>6,65*2</t>
  </si>
  <si>
    <t>Kladení dlažby z dlaždic kom.pro pěší do lože z MV</t>
  </si>
  <si>
    <t>6,65*0,6*2</t>
  </si>
  <si>
    <t>Omítky ze suchých směsí</t>
  </si>
  <si>
    <t>Omítky stěn z hotových směsí omítka vrchní tenkovrstvá, silikonová, zatřená, tloušťka vrstvy 2 mm, probarvená</t>
  </si>
  <si>
    <t>zatíraná, zrnitost 1,5 mm</t>
  </si>
  <si>
    <t>674,87855</t>
  </si>
  <si>
    <t>-55,89773</t>
  </si>
  <si>
    <t>70,0955</t>
  </si>
  <si>
    <t>2,7*4,6*3+(2,23+1,2)*0,7+4,4*0,8</t>
  </si>
  <si>
    <t>Podklad.nátěr stěn pod tenkovr.omítky</t>
  </si>
  <si>
    <t>616,17855</t>
  </si>
  <si>
    <t>58,7</t>
  </si>
  <si>
    <t>Omítka stěn mozaik.</t>
  </si>
  <si>
    <t>(3,42+4,29+3,7+4,63+5,2*0,975+15*0,975+0,725*0,485*4)*1,15</t>
  </si>
  <si>
    <t>(13,76-1,0*2+6,0-1,0*2+1,1+9,51)*0,5</t>
  </si>
  <si>
    <t>Penetrace hloubková stěn SDK</t>
  </si>
  <si>
    <t>určeno pro ETICS lepený na SDK - s křemičitým pískem</t>
  </si>
  <si>
    <t>1,7*3,46*2+14,5*2+16,15+1,5*1,68+5,51*0,75+1,12*7,25</t>
  </si>
  <si>
    <t>14,53+7,2*1,68+6,63*1,6+(2,3+1,35+2,3)*2,2+5,5*2,5+6,5*2+1,7*2+(4,35+2,05+9,95)*1,7</t>
  </si>
  <si>
    <t>Úprava povrchů vnitřní</t>
  </si>
  <si>
    <t>Provedení vnitřní omítky stěn dvouvrstvé, ručně</t>
  </si>
  <si>
    <t>na pálené cihly a tvarovky</t>
  </si>
  <si>
    <t>73,593</t>
  </si>
  <si>
    <t>Položka obsahuje postřik podkladu tl. 3 mm, jádrovou omítku tl. 20 mm a štukovou omítku tl. 2,5 mm prováděnou ručně, bez dodávky materiálu</t>
  </si>
  <si>
    <t>Zakrývání výplní vnitřních otvorů</t>
  </si>
  <si>
    <t>137+1,18*0,78*24+0,55*0,78*8+0,78*0,98*1</t>
  </si>
  <si>
    <t>Úprava povrchů vnější</t>
  </si>
  <si>
    <t>Příplatek za antivandalské opatření, D+M</t>
  </si>
  <si>
    <t>"• povrch do úrovně 2,0 m nad úroveň upraveného terénu bude doplněn antivandalskými opatřeními – rohové lišty, pancéřová výztužná síťka (kolem celého</t>
  </si>
  <si>
    <t>(51,94+9,5+16,28-3,15*2-1,2-1,0*4)*2,0</t>
  </si>
  <si>
    <t>Očištění fasád tlakovou vodou složitost 1 - 2</t>
  </si>
  <si>
    <t>527,239</t>
  </si>
  <si>
    <t>36,4775</t>
  </si>
  <si>
    <t>7,865</t>
  </si>
  <si>
    <t>1,65</t>
  </si>
  <si>
    <t>33,14705</t>
  </si>
  <si>
    <t>9,8</t>
  </si>
  <si>
    <t>Zakrývání výplní vnějších otvorů z lešení</t>
  </si>
  <si>
    <t>Reprofilace beton.povrchů sanační maltou, tl.25 mm</t>
  </si>
  <si>
    <t>o narušený beton se odstraní na zdravou část
o provede se očištění tlakovou vodou
o mechanicky se odstraní koroze výztuže na zdravé jádro a opatří s</t>
  </si>
  <si>
    <t>616,17855*0,01</t>
  </si>
  <si>
    <t>Montáž vyrovnávací vrstvy izolantem</t>
  </si>
  <si>
    <t xml:space="preserve">" nerovnosti fasády budou dle potřeby vyrovnány (podlepeny) deskami z izolantu EPS-F. Předpokládá se podlepení v ploše 30 % fasády tl. izolantu cca 30
včetně přestěrkovýní povrch s armovací tkaninou
</t>
  </si>
  <si>
    <t>616,17855*0,3</t>
  </si>
  <si>
    <t>Deska fasádní polystyrenová EPS 70 F  tl. 30 mm</t>
  </si>
  <si>
    <t>;ztratné 3%; 5,5456071</t>
  </si>
  <si>
    <t>Dilatační profil KZS  rohový V</t>
  </si>
  <si>
    <t>7,3+9,15</t>
  </si>
  <si>
    <t>Příplatek za počet hmoždinek 10 ks/m2</t>
  </si>
  <si>
    <t>Standardně je započteno v položkách souboru 622 3  6 kusů hmoždinek na metr čtvereční</t>
  </si>
  <si>
    <t>Montáž výztužné lišty okenní a podparapetní</t>
  </si>
  <si>
    <t>80,8+245,31</t>
  </si>
  <si>
    <t>LPE parapetní lišta s tkaninou</t>
  </si>
  <si>
    <t>80,8</t>
  </si>
  <si>
    <t>;ztratné 5%; 4,04</t>
  </si>
  <si>
    <t>Lišta napojovací okenní 2D LS2 dl. 2,6 m</t>
  </si>
  <si>
    <t>245,31</t>
  </si>
  <si>
    <t>;ztratné 5%; 12,2655</t>
  </si>
  <si>
    <t>Penetrační nátěr savých podkladů, slož.1-2,</t>
  </si>
  <si>
    <t>Omítka cementová stěn zatřená dř.hladítkem, hladká</t>
  </si>
  <si>
    <t xml:space="preserve">vyrovnání poodsekání izol. přizdívky    
</t>
  </si>
  <si>
    <t>(5,15+10,385+10,52+14,91+4,75*2)*0,6</t>
  </si>
  <si>
    <t>(11,88+3,94)*0,6</t>
  </si>
  <si>
    <t>Zateplovací systém, fasáda, EPS F tl. 160 mm</t>
  </si>
  <si>
    <t>zakončený stěrkou s výztužnou tkaninou</t>
  </si>
  <si>
    <t>5,15*7,75+5,15*0,35*0,5+5,13*8,1+5,13*0,2*0,5+5,13*7,9+5,13*0,2*0,5+5,15*8,1+5,15*0,13*0,5+5,15*8,23</t>
  </si>
  <si>
    <t>5,15*0,11*0,5+15,1*8,35</t>
  </si>
  <si>
    <t>(0,57*2+5,07)*8,09+3,62+(0,57*2+5,07)*8,09+3,62+1,6*1*4</t>
  </si>
  <si>
    <t>7,9*15,23+(2,835+1,6)*2,68*2+3,29*(5,88+0,675+0,31+1,8)+3,6*2*0,5+3,6*8,9+11,7+13,94</t>
  </si>
  <si>
    <t>-36,4775</t>
  </si>
  <si>
    <t>-119</t>
  </si>
  <si>
    <t>Položka obsahuje: nanesení lepicího tmelu na izolační desky, nalepení desek, zajištění talířovými hmoždinkami STR U (6 ks/m2), přebroušení desek, natažení stěrky, vtlačení výztužné tkaniny (1,15 m2/m2), přehlazení stěrky. V položce je obsaženo 0,14 m rohových lišt na m2. Součinitel tepelné vodivosti izolantu dle PD.</t>
  </si>
  <si>
    <t>Zateplovací systém, sokl, XPS P tl. 160 mm</t>
  </si>
  <si>
    <t>13,74+5,19*0,5+15*0,5</t>
  </si>
  <si>
    <t>7,51+(5,88+0,675+0,31+1,8-1,0*2)*0,5+3,6*0,5</t>
  </si>
  <si>
    <t>0,15*(2,2*2+2,25*2)</t>
  </si>
  <si>
    <t>Položka obsahuje: nanesení lepicího tmelu na izolační desky, nalepení desek, zajištění talířovými hmoždinkami (6 ks/m2), přebroušení desek, natažení stěrky, vtlačení výztužné tkaniny (1,15 m2/m2), přehlazení stěrky. V položce je obsaženo 0,14 m rohových lišt na m2. Součinitel tepelné vodivosti izolantu dle PD.</t>
  </si>
  <si>
    <t>Zateplovací syst.,fasáda, fenolická deska tl.  80 mm</t>
  </si>
  <si>
    <t>1,1*(2,68+2,68+3,29)</t>
  </si>
  <si>
    <t>-1,65</t>
  </si>
  <si>
    <t>Položka obsahuje: nanesení lepicího tmelu na izolační desky, nalepení desek, zajištění talířovými hmoždinkami (6 ks/m2), natažení stěrky, vtlačení výztužné tkaniny (1,15 m2/m2), přehlazení stěrky. V položce je obsaženo 0,14 m rohových lišt na m2. Součinitel tepelné vodivosti izolantu dle PD</t>
  </si>
  <si>
    <t>Zateplovací systém, sokl, XPS P tl. 80 mm</t>
  </si>
  <si>
    <t>1,1*0,5*3</t>
  </si>
  <si>
    <t>Položka obsahuje: nanesení lepicího tmelu na izolační desky, nalepení desek, zajištění talířovými hmoždinkami (6 ks/m2), přebroušení desek, natažení stěrky, vtlačení výztužné tkaniny (1,15 m2/m2), přehlazení stěrky. V položce je obsaženo 0,14 m rohových lišt na m2. Součinitel tepelné vodivosti izolantu dle PD</t>
  </si>
  <si>
    <t>Zateplovací systém, fasáda, EPS F tl. 30 mm</t>
  </si>
  <si>
    <t>(1,8+1,58+0,28+0,425+0,8)*3,29+(0,535+0,395)*2,65*2</t>
  </si>
  <si>
    <t>(1,1*2,2+(2*1,1+2,2)*0,28)*2+4,12+(1,53+1,05)*0,28</t>
  </si>
  <si>
    <t>Položka obsahuje: nanesení lepicího tmelu na izolační desky, nalepení desek, zajištění talířovými hmoždinkami (6 ks/m2), přebroušení desek, natažení stěrky, vtlačení výztužné tkaniny (1,15 m2/m2), přehlazení stěrky. V položce je obsaženo 0,14 m rohových lišt na m2. Součinitel tepelné vodivosti izolantu dle pd</t>
  </si>
  <si>
    <t>Zatepl. systém, fasáda, miner.desky 200 mm</t>
  </si>
  <si>
    <t>Položka obsahuje: nanesení lepicího tmelu na izolační desky, nalepení desek, zajištění zapouštěcími hmoždinkami (6 ks/m2), kašírování desek stěrkovou hmotou, nanesení stěrky a výztužné tkaniny (1,15 m2/m2), přehlazení.  V položce je obsaženo 0,14 m rohových lišt na m2. Součinitel tepelné vodivost izolantu dle PD.</t>
  </si>
  <si>
    <t>Příplatek-mtž KZS podhledu,izolant,stěrka+výzt.tk.</t>
  </si>
  <si>
    <t>1,1*2,2*2+4,12</t>
  </si>
  <si>
    <t>povrchová úprava ostění KZS s EPS</t>
  </si>
  <si>
    <t>stěrkou s výztužnou tkaninou</t>
  </si>
  <si>
    <t>44,16+14,54</t>
  </si>
  <si>
    <t>Položka obsahuje okenní a rohové lišty a výztužnou stěrku. V položce je započteno 6,67 m rohových lišt, 3,33 m lišt s okapničkou, 10 m napojovacích lišt na m2 a síťovina na vyztužení rohů 1,1 m2/m2</t>
  </si>
  <si>
    <t>Montáž těsnicí pásky</t>
  </si>
  <si>
    <t>2,9</t>
  </si>
  <si>
    <t>5+5+5+5+5,2+15,1+15+2,5+1,8</t>
  </si>
  <si>
    <t>27,8</t>
  </si>
  <si>
    <t>2,0</t>
  </si>
  <si>
    <t>Aplikace těsnicí pásky např. při styku zateplovacího systému se soklovým pásem, parapetem, konstrukcí venkovní rolety a pod</t>
  </si>
  <si>
    <t>Páska těsnicí  10-18x20 mm šedá</t>
  </si>
  <si>
    <t>;ztratné 10%; 9,23</t>
  </si>
  <si>
    <t>šířka těsněné spáry: 10 - 18 mm hloubka těsněné spáry: 20 mm  Předstlačená impregnovaná jednostranně lepicí polyuretanová pěnová páska se strukturou otevřených buněk pro dlouhodobé utěsnění spár proti průchodu vlhkosti, prachu, vodě, dešti a průvanu. K inpregnaci je použito syntetické pryskyřice. Používá se ve stavebních spárách, kde lze zvláště ocenit schopnost pásky vyrovnat rozměrové tolerance.  Přednosti: ověřená odolnost vůči průchodu vody při tlaku až 600 Pa paropropustnost jednostranně nanesené lepidlo na pásce usnadňuje fixaci při montáži páska je přetíratelná běžnými disperzními barvami estetický vzhled, rychlá montáž, úspora  role 4,5 m</t>
  </si>
  <si>
    <t>Montáž výztužné sítě (perlinky) do stěrky-podhledy - U21</t>
  </si>
  <si>
    <t>včetně výztužné sítě a stěrkového tmelu</t>
  </si>
  <si>
    <t>(0,3+0,8)*(5,15*3+5,43+5,92+15,75)+(0,3+0,4)*1*4+(0,1+0,3)*6,2*2+0,4*4</t>
  </si>
  <si>
    <t>(0,3+0,4)*(5,675*2+4,44)+(0,25+0,1)*3,65+0,4*4</t>
  </si>
  <si>
    <t>Položka obsahuje natažení stěrkového tmelu, vtlačení výztužné sítě a rozetření tmelu</t>
  </si>
  <si>
    <t>Příplatek- podhledu,stěrka,tenk.om.,nátěr</t>
  </si>
  <si>
    <t>Zatepl. systém, fasáda, miner.desky 120 mm</t>
  </si>
  <si>
    <t>zakončený stěrkou s výztužnou tkaninou
bez kotvení</t>
  </si>
  <si>
    <t>71,6865</t>
  </si>
  <si>
    <t>Položka obsahuje: nanesení lepicího tmelu na izolační desky, nalepení desek, zajištění talířovými hmoždinkami (6 ks/m2), kašírování desek stěrkovou hmotou, natažení stěrky s výztužnou tkaninou (1,15 m2/m2).  V položce je obsaženo 0,14 m rohových lišt na m2. V tomto systému odpadá diagonální armování kolem okenních a dveřních otvorů, kontakní nátěr mezi stěrkou a omítkou a příprava armovací stěrky - je pastovitá. Součinitel tepelné vodivosti izolantu dle PD</t>
  </si>
  <si>
    <t>Montáž výztužné sítě(perlinky)do stěrky-vněj.stěny</t>
  </si>
  <si>
    <t>Položka obsahuje natažení stěrkového tmelu, vtlačení výztužné sítě a rozetření tmelu.</t>
  </si>
  <si>
    <t>Vyrovnávací tmel tl. do 25 mm</t>
  </si>
  <si>
    <t>o nepevné části se odstraní na nosný podklad
o provede se očištění tlakovou vodou
o povrch se napenetruje a doplní opravnou vyrovnávací hmotou, popř. stěrkou v příslušných vrstvách</t>
  </si>
  <si>
    <t>616,17855*0,15</t>
  </si>
  <si>
    <t>Podlahy a podlahové konstrukce</t>
  </si>
  <si>
    <t>Obrubník zahradní betonový výšky 250 mm, šedý</t>
  </si>
  <si>
    <t>osazený do betonového lože</t>
  </si>
  <si>
    <t>(0,55+4,51+0,52+0,74*2+0,6*2+0,52+8,97+0,51*2+0,74*2+0,6*2+4,7+5,66+15,23+0,55)*1,2</t>
  </si>
  <si>
    <t>(0,55+2,1)*1,2</t>
  </si>
  <si>
    <t>Podklad pod okapový chodník ze štěrku tl.100 mm</t>
  </si>
  <si>
    <t>ŠTĚRK fr. 4/8 mm, tl. 50 mm</t>
  </si>
  <si>
    <t>Podklad pod okapový chodník ze štěrku tl.150 mm</t>
  </si>
  <si>
    <t>ŠTĚRK fr. 8/16 mm, tl. 100-150 mm</t>
  </si>
  <si>
    <t>Penetrace hloubková 0,20 l/m2 - U21</t>
  </si>
  <si>
    <t>Vyrovnávací potěr MC 15, v pásu, tl. 50 mm</t>
  </si>
  <si>
    <t>80,8*0,3</t>
  </si>
  <si>
    <t>Položka je určena pro vyrovnávací potěr z cementové malty provedený v pásu na zdivu jako podklad např. pod izolaci, na parapetech z prefabrikovaných dílců pod oplechování apod., vodorovný nebo ve spádu do 15 st., hlazený dřevěným hladítkem.</t>
  </si>
  <si>
    <t>Výplně otvorů</t>
  </si>
  <si>
    <t>Osazení parapetních desek dřevěných š. do 50 cm</t>
  </si>
  <si>
    <t>včetně dodávky parapetní desky š. 38 cm, ABS hran</t>
  </si>
  <si>
    <t>1,2*22</t>
  </si>
  <si>
    <t>1,2*3</t>
  </si>
  <si>
    <t>1,2*2</t>
  </si>
  <si>
    <t>0,9*5</t>
  </si>
  <si>
    <t>3,0*6</t>
  </si>
  <si>
    <t>1,2*1</t>
  </si>
  <si>
    <t>0,6*2</t>
  </si>
  <si>
    <t>0,8*24</t>
  </si>
  <si>
    <t>1,5*8</t>
  </si>
  <si>
    <t>Položka je určena pro osazování parapetních desek dřevěných na nízkoexpanzní montážní pěnu. Těsnění spáry mezi parapetem a rámem okna transpatentním silikonem. V položce jsou zakalkulovány i náklady na dodávku desek.</t>
  </si>
  <si>
    <t>viz TZ a výpis truhlařských výrobků, detaily</t>
  </si>
  <si>
    <t>Izolace proti vodě</t>
  </si>
  <si>
    <t>Izolace proti vlhkosti svis. nátěr penetrační, za studena</t>
  </si>
  <si>
    <t>1x nátěr - včetně dodávky asfaltového laku</t>
  </si>
  <si>
    <t>Stěrka hydroizolační bitumenová tl. 4 mm, vč.kontroly stáv.izolace, D+M</t>
  </si>
  <si>
    <t>Montáž nopové fólie svisle</t>
  </si>
  <si>
    <t>včetně dodávky fólie  N8
Dále bude osazena nopová fólie do tvaru písmene rozevřeného „L“ nopy směrem od stěny. Nopová fólie bude prioritně roz</t>
  </si>
  <si>
    <t>(5,15+10,385+10,52+14,91+4,75*2)*0,6*1,2</t>
  </si>
  <si>
    <t>(11,88+3,94)*0,6*1,2</t>
  </si>
  <si>
    <t>Montáž ukončovací lišty k nopové fólii</t>
  </si>
  <si>
    <t>včetně dodávky lišty  T20</t>
  </si>
  <si>
    <t>(5,15+10,385+10,52+14,91+4,75*2)*1,2</t>
  </si>
  <si>
    <t>(11,88+3,94)*1,2</t>
  </si>
  <si>
    <t>Balkonový systém kompletní - skladby viz PD!!!</t>
  </si>
  <si>
    <t>hydroizolace, spádové klíny tl. 40 mm, dlažba
-dodavatel zhotoví skladbu dle specifikace viz PD!!!</t>
  </si>
  <si>
    <t>1,1*2,2*2+4,2*2</t>
  </si>
  <si>
    <t>Balkónový profil AL pro zakončení balkónů, teras se sekundárním odvodem vodních par. Včetně spojek a rohového programu</t>
  </si>
  <si>
    <t>(1,1*2+2,2)*2+2,5*2</t>
  </si>
  <si>
    <t>;ztratné 3%; 0,414</t>
  </si>
  <si>
    <t>Přesun hmot pro izolace proti vodě, výšky do 12 m</t>
  </si>
  <si>
    <t>129873*0,01</t>
  </si>
  <si>
    <t>Izolace tepelné</t>
  </si>
  <si>
    <t>Montáž parozábrany, zavěšené podhl., přelep. spojů</t>
  </si>
  <si>
    <t>materiál polyetylen
ekvivalentní dif.tl. 40 m (+/-10 m)
faktor difuzního odporu 180 000
barva bílá
reakce na oheň E
plošná hmotnost 110 g/m2
tloušťka 0,22 mm</t>
  </si>
  <si>
    <t>Položka je určena pro montáž fólie s přelepením spojů na zavěšený podhled před položením tepelné izolace a obsahuje pouze montážní práce a spojovací prostředky. S dodávkou parotěsné zábrany</t>
  </si>
  <si>
    <t>Izolace tepelná stěn vložením do konstrukce</t>
  </si>
  <si>
    <t>Vložení do nosné konstrukce dřevostaveb. V položce není zakalkulována dodávka izolačního materiálu. Tato dodávka se oceňuje ve specifikaci. Při stanovení množství tepelné izolace se z celkového množství neodečítají otvory nebo neizolované plochy menší než 1 m2. Měrnou jednotkou je pohledová plocha stěny. Doporučená spotřeba minerálních desek je 0,97 m2/m2 plochy stěny</t>
  </si>
  <si>
    <t>Deska z minerální plsti tl. 40 mm</t>
  </si>
  <si>
    <t>;ztratné 5%; 3,091</t>
  </si>
  <si>
    <t>univerzální pro všechny způsoby nezatížené vnitřní výplňové izolace - mezi krokve, do příček, stropů, podhledů, na nepochůzné půdy apod.  Rozměr: dl. 1200 x š. 600 mm  Součinitel tepelné vodivosti: 0,035 W/m . K Objemová hmotnost: 40 kg/m3 Balení: 8,64 m2</t>
  </si>
  <si>
    <t>Izolace tepelné stropů, vložená mezi krokve</t>
  </si>
  <si>
    <t>1 vrstva - materiál ve specifikaci</t>
  </si>
  <si>
    <t>((5,8*3+5,25+5,0+14,8)*2,4+1,9*(3,42+7,23+7,205+4,34+2,05+9,93))*0,4</t>
  </si>
  <si>
    <t>(1,75*(3,42+1,5+5,51+3,42+0,365+2,98+4,6)+14,27*2,2)*0,4</t>
  </si>
  <si>
    <t>Deska z minerální plsti tl. 1200x600x180 mm</t>
  </si>
  <si>
    <t>;ztratné 2%; 1,890782</t>
  </si>
  <si>
    <t>Desky jsou vhodné pro nezatížené tepelné, zvukové a protipožární izolace především šikmých střech s vkládáním mezi krokve i do přídavného roštu, do příček, izolací dřevěných stropů, podhledů i dutin.  Od tloušťky materiálu 100 mm jsou výrobky komprimované.  Izolační desky vyrobené z minerální plsti Isover. Vlákna jsou po celém povrchu hydrofobizována. Desky je nutné v konstrukci chránit vhodným způsobem proti povětrnostním vlivům, zvýšené vnitřní relativní vlhkosti a kondenzátu (difuzní a parotěsnící fólie).  Součinitel tepelné vodivosti: 0,038 W/mK Rozměry: 1200 x 600 m</t>
  </si>
  <si>
    <t>Odstr.tep.izol.střech šik,volně,miner.tl.100-200mm</t>
  </si>
  <si>
    <t>odhad 20% poškozené izolace tl. 180 mm</t>
  </si>
  <si>
    <t>Odstr.tep.izol. stropů,volně,minerál tl.100-200 mm - U24, U25</t>
  </si>
  <si>
    <t>odhadem 30% plochy</t>
  </si>
  <si>
    <t>(58,95+93,93)*0,3</t>
  </si>
  <si>
    <t>(9,75+69,5)*0,3</t>
  </si>
  <si>
    <t>Příplatek za správkový kus vyspravení stropů</t>
  </si>
  <si>
    <t xml:space="preserve">odhad 30 ks mezi krokvemi
</t>
  </si>
  <si>
    <t>Příplatek za správkový kus vyspravení podlah</t>
  </si>
  <si>
    <t>odhad 30 ks</t>
  </si>
  <si>
    <t>Izolace tepelné stropů vrchem kladené volně</t>
  </si>
  <si>
    <t>V položce není zakalkulována dodávka izolačního materiálu.Tato dodávka se oceňuje ve specifikaci.Při stanovení množství tepelné izolace se z celkového množství neodečítají otvory nebo neizolované plochy menší než 2 m2</t>
  </si>
  <si>
    <t>;ztratné 2%; 1,39278</t>
  </si>
  <si>
    <t>58,95+93,93</t>
  </si>
  <si>
    <t>9,75+69,5</t>
  </si>
  <si>
    <t>Deska z minerální plsti tl. 1200x600x120 mm</t>
  </si>
  <si>
    <t>;ztratné 5%; 11,6065</t>
  </si>
  <si>
    <t>Desky jsou vhodné pro nezatížené tepelné, zvukové a protipožární izolace především šikmých střech s vkládáním mezi krokve i do přídavného roštu, do příček, izolací dřevěných stropů, podhledů i dutin.  Od tloušťky materiálu 100 mm jsou výrobky komprimované.  Izolační desky vyrobené z minerální plsti Isover. Vlákna jsou po celém povrchu hydrofobizována. Desky je nutné v konstrukci chránit vhodným způsobem proti povětrnostním vlivům, zvýšené vnitřní relativní vlhkosti a kondenzátu (difuzní a parotěsnící fólie).  Součinitel tepelné vodivosti: dle PD Rozměry: 1200 x 600 m</t>
  </si>
  <si>
    <t>Přesun hmot pro izolace tepelné, výšky do 12 m</t>
  </si>
  <si>
    <t>189591*0,01</t>
  </si>
  <si>
    <t>Vnitřní kanalizace</t>
  </si>
  <si>
    <t>Demontáž lapače střešních splavenin DN 125</t>
  </si>
  <si>
    <t>viz TZ a výkres č.07-12, výpis výrobků</t>
  </si>
  <si>
    <t>Lapač střešních splavenin PP HL600, kloub D+M</t>
  </si>
  <si>
    <t>zápachová klapka, koš na listí, DN 125
Osazení nového plastového lapače střešeních splavenin k zateplené fasádě. Napojení na nový dešťový svod a stáv</t>
  </si>
  <si>
    <t>S košem pro zachytávání nečistot, odtok s otáčivým kulovým kloubem nastavitelným od 0 - 90 stupňů, suchá nezámrzná klapka proti pronikání zápachu, připojení dešťových svodů do průměru 110 mm.</t>
  </si>
  <si>
    <t>Přesun hmot pro vnitřní kanalizaci, výšky do 6 m</t>
  </si>
  <si>
    <t>30450*0,01</t>
  </si>
  <si>
    <t>Zařizovací předměty</t>
  </si>
  <si>
    <t>Odmontování a zpětná montáž kouřovodu</t>
  </si>
  <si>
    <t>viz TZ a výkres č.01-06,</t>
  </si>
  <si>
    <t>Přesun hmot pro zařizovací předměty, výšky do 6 m</t>
  </si>
  <si>
    <t>244*0,01</t>
  </si>
  <si>
    <t>Vzduchotechnika</t>
  </si>
  <si>
    <t>Demontáž mřížky větrací nebo ventilační do 0,04 m2</t>
  </si>
  <si>
    <t>Demontáž mřížky větrací nebo ventilační nad 0,20m2</t>
  </si>
  <si>
    <t>Montáž mřížky větrací nebo ventilační do 0,04 m2</t>
  </si>
  <si>
    <t>Větrací mřížka 150 mm D+M - viz výpis</t>
  </si>
  <si>
    <t>Plastová mřížka odvětrávání sociálního zařízení D+M. Větrací mřížka kruhová se sí´tovinou proti hmyzu DN 150  mm - BÍLÁ. Odolná proti UV záření. Včetně dodání následujícího materiálu a práce. Plastové větrací mřížky musí být vždy pevně spojeny s povrchem fasády a řádně utěsněny trvale pružným tmelem.
Po celé tloušťce izolantu se následně usadí PVC nebo ALU FLEXI potrubí v požadovaném průměru dle vybrané větrací mřížky. V místech, kde není dolehnutí potrubí k izolantu dostatečně pevné, je potřeba tato místa dodatečně dopěnit montážní pěnou.</t>
  </si>
  <si>
    <t>Přesun hmot pro vzduchotechniku, výšky do 6 m</t>
  </si>
  <si>
    <t>6184*0,01</t>
  </si>
  <si>
    <t>Kotelny</t>
  </si>
  <si>
    <t>Kus prodlužovací odkouření 60/100 mm PP dl. 1,0 m</t>
  </si>
  <si>
    <t>Příslušenství - trubka souosá80/125, 0,5m</t>
  </si>
  <si>
    <t>Odkouření k plynovým kondenzačním kotlům  trubka souosá pr.80/125, délka 0,5</t>
  </si>
  <si>
    <t>Přesun hmot pro kotelny, výšky do 6 m</t>
  </si>
  <si>
    <t>7968*0,01</t>
  </si>
  <si>
    <t>Konstrukce tesařské</t>
  </si>
  <si>
    <t>Demontáž bednění okapů</t>
  </si>
  <si>
    <t>bednění přesahů krovu z pohledových desek
-včetně podkladního roštu</t>
  </si>
  <si>
    <t>(0,3+0,96)*(5,15*3+5,43+5,92+15,75)+(0,3+0,4)*1*4+(0,25+0,3)*6,2*2+0,4*4</t>
  </si>
  <si>
    <t>(0,3+0,55)*(5,675*2+4,44)+(0,25+0,25)*3,65+0,4*4</t>
  </si>
  <si>
    <t>Demontáž bednění okapů a štítových říms, včetně kostry, krajnice a závětrného prkna, střešních žlabů, pevných žaluzií a bednění z dílců</t>
  </si>
  <si>
    <t>Bednění okapových říms z desek tvrdých - U21</t>
  </si>
  <si>
    <t>Deska cementovláknitá 1250x2600x12,5 mm - U21</t>
  </si>
  <si>
    <t>;ztratné 5%; 3,504775</t>
  </si>
  <si>
    <t>cementem pojená deska z lehkého betonu se sendvičovou strukturou a oboustrannou výztuhu pod krycími vrstvami s alkalicky rezistentní sklovláknitou kaninou (5 mm x 5 mm).  Deska není hořlavá a odpovídá třídě reakce na oheň A1.</t>
  </si>
  <si>
    <t>Montáž vázaných krovů nepravidelných do 120 cm2</t>
  </si>
  <si>
    <t>nosný rošt podbití střešní římsy - U21</t>
  </si>
  <si>
    <t>(0,3+0,8+1,03)*51</t>
  </si>
  <si>
    <t>(0,3+0,4+0,6)*20</t>
  </si>
  <si>
    <t>(5+5+5+5+5,2+15,1)*4</t>
  </si>
  <si>
    <t>(15+2,5+1,8)*3</t>
  </si>
  <si>
    <t>Položka je určena pro montáž vázaných konstrukcí krovů střech pultových, sedlových, valbových, stanových nepravidelného půdorysu. V položce nejsou zakalkulovány náklady na dodávku řeziva.Tato dodávka se oceňuje ve specifikaci, ztratné se doporučuje 10%</t>
  </si>
  <si>
    <t>Lať profil dřevěný 80/40 mm l = 3 m a výše</t>
  </si>
  <si>
    <t>353,73</t>
  </si>
  <si>
    <t>;ztratné 10%; 35,373</t>
  </si>
  <si>
    <t>Spojovací a ochranné prostředky pro střechy</t>
  </si>
  <si>
    <t>353,73*0,04*0,08</t>
  </si>
  <si>
    <t>Položka je určena pouze pro soubory:  762 33 Montáž vázaných konstrukcí krovů 762 34 Montáž bednění a laťování, 762 35 Montáž nadstřešních konstrukcí, 762 36 Montáž spádových klínů.</t>
  </si>
  <si>
    <t>Demontáž střešních oken, sklon střechy nad 15°</t>
  </si>
  <si>
    <t>včetně lemování</t>
  </si>
  <si>
    <t>Demontáž laťování střech, rozteč latí do 50 cm</t>
  </si>
  <si>
    <t>731,36</t>
  </si>
  <si>
    <t>Demontáž laťování střech o sklonu do 60 stupňů včetně všech nadstřešních konstrukcí</t>
  </si>
  <si>
    <t>Montáž laťování střech, vzdálenost latí 22 - 36 cm</t>
  </si>
  <si>
    <t>včetně dodávky řeziva, latě 3/5 cm</t>
  </si>
  <si>
    <t>Montáž kontralatí na vruty, s těsnicí páskou</t>
  </si>
  <si>
    <t>včetně dodávky latí 4/6 cm</t>
  </si>
  <si>
    <t>V položce jsou zakalkulovány náklady na dodávku vrutů, těsnicí pásky a řeziva</t>
  </si>
  <si>
    <t>47*30*(0,03*0,05)+24*15,7*(0,03*0,05)</t>
  </si>
  <si>
    <t>Nátěr tesařských konstrukcí pro ochranu dřeva</t>
  </si>
  <si>
    <t>2 vrstvy</t>
  </si>
  <si>
    <t>(10+9,3)*(2*0,04+2*0,06)*40+47*30*(0,03*2+0,05*2)+24*15,7*(0,03*2+0,05*2)</t>
  </si>
  <si>
    <t>Demontáž dřevěných kontralatí</t>
  </si>
  <si>
    <t>Demontáž kontralatí střech o sklonu do 60 stupňů včetně všech nadstřešních konstrukcí</t>
  </si>
  <si>
    <t>Demontáž záklopů z hrubých prken tl. do 3,2 cm - U24</t>
  </si>
  <si>
    <t>Přesun hmot pro tesařské konstrukce, výšky do 12 m</t>
  </si>
  <si>
    <t>508372*0,01</t>
  </si>
  <si>
    <t>Dřevostavby</t>
  </si>
  <si>
    <t>M.záklopu stropů z desek nad tl.18 mm,sraz,šroub.</t>
  </si>
  <si>
    <t>vč. dodávky desky OSB ECO 3N tl. 22 mm a spojovacího materiálu</t>
  </si>
  <si>
    <t>Montáž záklopu stropů šroubováním z desek dřevoštěpkových OSB ECO (pojivo neobsahuje formaldehyd), na sraz, tloušťky desek 22 mm. Spojovací materiál vruty.</t>
  </si>
  <si>
    <t>Montáž podlah - rámů, polštářů, pl. do 50 cm2</t>
  </si>
  <si>
    <t>včetně spojovacího materiálu</t>
  </si>
  <si>
    <t>152,88/4*11</t>
  </si>
  <si>
    <t>Deska dřevoštěpková OSB 3 N tl. 22 mm</t>
  </si>
  <si>
    <t>152,88/4*1,65</t>
  </si>
  <si>
    <t>;ztratné 10%; 6,3063</t>
  </si>
  <si>
    <t>SUPERFINISH  OSB3 - konstrukční deska pro použití ve vlhkém prostředí  N - nebroušená strana  rozměr 2500 x 1250 mm</t>
  </si>
  <si>
    <t>Lať střešní 30x50 mm</t>
  </si>
  <si>
    <t>(152,88/4*8)*0,03*0,05</t>
  </si>
  <si>
    <t>;ztratné 5%; 0,022932</t>
  </si>
  <si>
    <t>Přesun hmot pro dřevostavby, výšky do 12 m</t>
  </si>
  <si>
    <t>236114*0,01</t>
  </si>
  <si>
    <t>Konstrukce klempířské</t>
  </si>
  <si>
    <t>Oplechování parapetů, lakovaný Pz plech, rš 270 mm</t>
  </si>
  <si>
    <t>lepení na nízkoexpanzní pěnu
viz výpis klempířských výrobků</t>
  </si>
  <si>
    <t>Dodávka a montáž oplechování parapetu včetně krytek, spojovacího materiálu a nalepení na podklad nízkoexpanzní pěnou.</t>
  </si>
  <si>
    <t>viz TZ a výkres č.07-12, výpis klempířských výrobků</t>
  </si>
  <si>
    <t>Demontáž oplechování parapetů,rš od 100 do 330 mm</t>
  </si>
  <si>
    <t>1,2*28+1,5*8+3*6+0,9*5+0,6*2</t>
  </si>
  <si>
    <t>Demontáž podokapních žlabů půlkruhových</t>
  </si>
  <si>
    <t>z plechu pozinkovaného
-včetně háků</t>
  </si>
  <si>
    <t>5,15+5,125+5,125+6,05+15,8+1,0*4+6,4*2</t>
  </si>
  <si>
    <t>5,7+5,7+2,5+1,75+3,95+1,46+1,08</t>
  </si>
  <si>
    <t>V položce není kalkulován poplatek za skládku pro vybouranou suť. Tyto náklady se oceňují individuálně podle místních podmínek. Orientační hmotnost vybouraných konstrukcí je 0,005 t/m konstrukce.</t>
  </si>
  <si>
    <t>Demontáž odpadních trub</t>
  </si>
  <si>
    <t>z plechu pozinkovaného
včetně kolen a spojek, kotlíků</t>
  </si>
  <si>
    <t>7+8+8*2+7,6+7,5+9,2</t>
  </si>
  <si>
    <t>V položce není kalkulován poplatek za skládku pro vybouranou suť. Tyto náklady se oceňují individuálně podle místních podmínek. Orientační hmotnost vybouraných konstrukcí je 0,003 t/m konstrukce.</t>
  </si>
  <si>
    <t>Lemování komínů z Pz lak. plechu, v ploše</t>
  </si>
  <si>
    <t>komín 450 x 900 mm</t>
  </si>
  <si>
    <t>V ploše střechy. Včetně rohů, spojů, lišt a dilatací</t>
  </si>
  <si>
    <t>Lemování komínů z Pz lak plechu, v hřebeni</t>
  </si>
  <si>
    <t>komín do 600 x 1600 mm</t>
  </si>
  <si>
    <t>Včetně rohů, spojů, lišt a dilatací</t>
  </si>
  <si>
    <t>Žlaby z Pz lak. plechu podokapní půlkruhové, rš 330 mm</t>
  </si>
  <si>
    <t>viz výpis klempířských výrobků</t>
  </si>
  <si>
    <t>5,2</t>
  </si>
  <si>
    <t>5,0</t>
  </si>
  <si>
    <t>5,4</t>
  </si>
  <si>
    <t>6,2</t>
  </si>
  <si>
    <t>15,9</t>
  </si>
  <si>
    <t>5,9</t>
  </si>
  <si>
    <t>5,8</t>
  </si>
  <si>
    <t>3,6</t>
  </si>
  <si>
    <t>Položka je kalkulována včetně háků, čel, rohů, rovných hrdel a dilatací.</t>
  </si>
  <si>
    <t>Žlaby nástřešní, oblý tvar,Pz lak.plech, rš 660 mm D+M</t>
  </si>
  <si>
    <t>4,1</t>
  </si>
  <si>
    <t>Žlaby nadřímsové,čtyřhranné,lak.Pz plech,rš 500 mm D+M</t>
  </si>
  <si>
    <t>0,65*2</t>
  </si>
  <si>
    <t>Včetně doplňkového sortimentu</t>
  </si>
  <si>
    <t>Žlaby z Pz plechu podokapní půlkruhové, rš 250 mm D+M</t>
  </si>
  <si>
    <t>2,5*2</t>
  </si>
  <si>
    <t>Odpadní trouby z Pz lak. plechu, kruhové, D 120 mm</t>
  </si>
  <si>
    <t xml:space="preserve">viz výpis klempířských výrobků
</t>
  </si>
  <si>
    <t>7,2</t>
  </si>
  <si>
    <t>0,7</t>
  </si>
  <si>
    <t>7,5</t>
  </si>
  <si>
    <t>7,6</t>
  </si>
  <si>
    <t>7,5*3</t>
  </si>
  <si>
    <t>1,5</t>
  </si>
  <si>
    <t>Položka je kalkulována včetně nákladů na dodání zděří, manžet, odboček, kolen, odskoků, výpustí vody a přechodových kusů a kotlíků.</t>
  </si>
  <si>
    <t>Z+M závětrné lišty z ocel.lak.plechu  rš 400 mm</t>
  </si>
  <si>
    <t>10*2*1,1</t>
  </si>
  <si>
    <t>9,3*2*1,1</t>
  </si>
  <si>
    <t>6,2*2</t>
  </si>
  <si>
    <t>Položka je určena pro zhotovení a montáž závětrné lišty z  lakovaných plechů . V položkách je započítano zhotovení a montáž klempířských prvků, zednické výpomoci (vč. materiálu) a oprava nátěru poškozeného při montáži.  Veškerý materiál pro klempířské práce se oceňuje ve specifikaci. Přídavek pro plech na prořez, spoje a překrytí se doporučuje ve výši 10 %</t>
  </si>
  <si>
    <t>Oplechování zdí (atik) z lak.Pz plechu, rš 630 mm</t>
  </si>
  <si>
    <t>nalepení bitumenovým lepidlem</t>
  </si>
  <si>
    <t>9,3</t>
  </si>
  <si>
    <t>Dodávka a montáž oplechování zdí a nadezdívek lepené k podkladu lepidlem</t>
  </si>
  <si>
    <t>Z+M úžlabí z ocel.lak. plechu do rš 660 mm</t>
  </si>
  <si>
    <t>4*4*1,1</t>
  </si>
  <si>
    <t>13*1,1</t>
  </si>
  <si>
    <t>Položka je určena pro zhotovení a montáž úžlabí z ocelových lakovaných plechů . V položkách je započítana montáž klempířských prvků a oprava nátěru poškozeného při montáži. Veškerý materiál pro klempířské práce se oceňuje ve specifikaci. Přídavek pro plech na prořez, spoje a překrytí se doporučuje ve výši 10 %</t>
  </si>
  <si>
    <t>Lemování zdí z lak.Pz plechu,tvr.krytina,rš 400 mm</t>
  </si>
  <si>
    <t>3,2*4*1,1</t>
  </si>
  <si>
    <t>10+9,3*1,1</t>
  </si>
  <si>
    <t>Položka je kalkulována včetně lemování rohů a ukončení před požární zdí.</t>
  </si>
  <si>
    <t>Demontáž lemování zdí, rš 400 a 500 mm, do 45°</t>
  </si>
  <si>
    <t>32,1</t>
  </si>
  <si>
    <t>Položka je kalkulována pro demontáž lemování zdí na střechách s tvrdou krytinou.</t>
  </si>
  <si>
    <t>Demontáž úžlabí, rš 660 mm, sklon nad 45°</t>
  </si>
  <si>
    <t>Demontáž závětrné lišty, rš 400 a 500 mm, nad 45°</t>
  </si>
  <si>
    <t>38,6</t>
  </si>
  <si>
    <t>Demontáž oplechování zdí,rš 600 mm</t>
  </si>
  <si>
    <t>21,3</t>
  </si>
  <si>
    <t>Přesun hmot pro klempířské konstr., výšky do 12 m</t>
  </si>
  <si>
    <t>205519*0,01</t>
  </si>
  <si>
    <t>Krytina tvrdá</t>
  </si>
  <si>
    <t>Demontáž krytiny dvoudrážk., na sucho, pro použití</t>
  </si>
  <si>
    <t>109,6+102,03+21,61+96,95+8*2</t>
  </si>
  <si>
    <t>47,8+101,3+46,65</t>
  </si>
  <si>
    <t>(2,6+2,5)*15,2+2,6*12,7+2*3,2*0,5+2,6*11,8+11*2,5+2,5*7</t>
  </si>
  <si>
    <t>Demontáž podstřešní fólie</t>
  </si>
  <si>
    <t>Položka je určena pro demontáž fólie na krokve i na bednění. pro všechny sklony střech.</t>
  </si>
  <si>
    <t>Fólie podstřešní paropropust. Fol-S D+M</t>
  </si>
  <si>
    <t xml:space="preserve">včetně lepící pásky
" Vysoce difuzně otevřená vzduchotěsná folie
o hodnota sd ? 0,04 m
o vodotěsnost ? 2800 mm
o spoje přelepené páskou (nejlépe integrovanou)
</t>
  </si>
  <si>
    <t>731,36*1,1</t>
  </si>
  <si>
    <t>Difúzně otevřená pojistná hydroizolace pro dvouplášťové šikmé střechy bedněné. Položka neobsahuje náklady na kontralatě; tyto náklady se oceňují samostatně.</t>
  </si>
  <si>
    <t>Mont.krytiny drážk.střech slož.na sucho do 15ks/m2</t>
  </si>
  <si>
    <t>731,36*0,7</t>
  </si>
  <si>
    <t>Položka obsahuje pouze montážní práce a je určena pro střechy o sklonu do 35°. Veškerý materiál se ocení ve specifikaci. Montáž zastřešení ve sklonu přes 35°do 45° se ocení připlatkem za sklon pol.č. 765 31-9231 a od 45°do 75°se stanoví individuálně</t>
  </si>
  <si>
    <t>Krytina Brněnka 14, střech jednoduchých</t>
  </si>
  <si>
    <t>z tašek režných</t>
  </si>
  <si>
    <t>731,36*0,3</t>
  </si>
  <si>
    <t>Včetně tašek polovičních. Započtená spotřeba 14,5 ks/m2</t>
  </si>
  <si>
    <t>Hřeben z hřebenáčů  do malty</t>
  </si>
  <si>
    <t>15,03+12,7+9,4</t>
  </si>
  <si>
    <t>(2,2+2,5*2)*2+10,5*2</t>
  </si>
  <si>
    <t>Pro taškovou krytinu z Hranic, ze Stodu a Šlapanic</t>
  </si>
  <si>
    <t>Krytina Brněnka-příplatek za sklon přes 45 do 60°</t>
  </si>
  <si>
    <t>Přichytává se každá třetí taška.</t>
  </si>
  <si>
    <t>Hák protisněhový</t>
  </si>
  <si>
    <t>Schéma C
Každá 6. taška v každé řadě – 1 protisněhová taška anebo hák + jedna celá řada nad okapem. Spotřeba asi 1,4 ks/m2</t>
  </si>
  <si>
    <t>731,36*1,4</t>
  </si>
  <si>
    <t>Demontáž krytiny z hřebenáčů, zvětr.malta, do suti</t>
  </si>
  <si>
    <t>Pás větrací okapní ochranný 500/10 cm</t>
  </si>
  <si>
    <t>5,3*4+15,7+5,9+15,2+2,6+1,8</t>
  </si>
  <si>
    <t>Montáž fólie na podlahu půdy D+M</t>
  </si>
  <si>
    <t>podstřešní difúzní fólie přelepeno páskou</t>
  </si>
  <si>
    <t>Včetně dodávky materiálu</t>
  </si>
  <si>
    <t>Přesun hmot pro krytiny tvrdé, výšky do 12 m</t>
  </si>
  <si>
    <t>663318*0,01</t>
  </si>
  <si>
    <t>Konstrukce truhlářské</t>
  </si>
  <si>
    <t>Okno plastové D+M</t>
  </si>
  <si>
    <t>viz TZ a výkres č.07-12, výpis výplní otvorů</t>
  </si>
  <si>
    <t>plastové okno D+M</t>
  </si>
  <si>
    <t>plastové dveře D+M</t>
  </si>
  <si>
    <t>Těsnění okenní spáry, ostění, PT folie + PP folie</t>
  </si>
  <si>
    <t>PT folie šířky 100 mm; PP folie šířky 100 mm</t>
  </si>
  <si>
    <t>245,31+83,83</t>
  </si>
  <si>
    <t>Montáž dvířek HUP 1křídl.kompl,do 90x120 cm</t>
  </si>
  <si>
    <t>Dvířka revizní plná  rozměr 400x600 mm</t>
  </si>
  <si>
    <t>Rám z ocelového L-profilu, tloušťka 2 mm. Křídlo dvířek z pozinkovaného plechu tloušťky 1 mm. Provedení pravé (panty vpravo). V křídle dvířek ve spodní části odvětrání protidešťovými žaluziemi.Označení HUP.
Zámek univerzální čtyřhran, klička součástí dodávky. Na rámu vpravo a vlevo packy pro uchycení do zdiva. Povrchová úprava prášková polyesterová vypalovaná barva venkovní - bude vyvzorkováno</t>
  </si>
  <si>
    <t>Montáž střešních oken rozměr 78/140 - 160 cm</t>
  </si>
  <si>
    <t>Položka obsahuje montáž střešního okna včetně lemování a spojovacího materiálu.</t>
  </si>
  <si>
    <t>Okno střešní š. 78 x v. 118 cm - viz výpis</t>
  </si>
  <si>
    <t>Kyvné střešní okno do střechy se sklonem od 15° do 90°. • Otevírání madlem s dvojkrokovým zámkem v horní části okenního křídla. • Ventilační klapka – umožňuje větrání i při zavřeném okně. • Snadno vyměnitelný vzduchový filtr pro zadržení nečistot či hmyzu. • Otočení křídla o 160° pro snadné umytí venkovní strany okna. • Pojistka pro zafixování okna při větrání nebo umývání  Materiál rámu/křídla: Lepený tepelně upravený dřevěný profil (TMT) s vrstvou polyuretanu o síle 3–5 mm. Finální bílý lak UV stabilizovaný – při pů-sobení slunečního záření zůstává bílý a nemění svoji barvu (NSC S 0500-N nebo jako RAL 9003).  Bezpečné nízkoenergetické trojsklo --66  – Vnitřní lepené sklo se dvěma PVB fóliemi – 2x3 mm – Argon – 12 mm – Střední plavené sklo – 3 mm – Argon – 12 mm – Venkovní tvrzené sklo se samočistící úpravou a vrstvou proti venkovnímu rosení  U okna = dle</t>
  </si>
  <si>
    <t>PD. Dodávka včetně systémové parotěsné fólie a Manžety z hydroizolační fólie z vysoce difuzního materiálu zajišťuje napojení na podstřešní fólii v místě instalace střešního okna.</t>
  </si>
  <si>
    <t>Lemování okna 78 x 118 cm</t>
  </si>
  <si>
    <t>Lemování se zateplovací sadou -  Lemování na profilovanou krytinu se zateplovací sadou.  Výhodné a praktické spojení lemování a zateplovací sady dodávané v jednom balení. Lemování zajišťuje vodotěsnost a ochranu proti povětrnostním vlivům. Spolehlivá, jednoduchá a rychlá montáž s důkladným zateplením  střešního okna i v těžko dostupných detailech. Lemování, zateplovací sada, drenážní žlábek a hydroizolační fólie jsou dodávány v jednom balení.  • Pro montáž samostatného střešního okna do profilované střešní krytiny o výšce do 120 mm.  • Standardní provedení z hliníku v neutrální šedé barvě. • Pro střechy se sklonem 15° až 90°.</t>
  </si>
  <si>
    <t>Markýza ovládání ruční Standard (vnější stínění)</t>
  </si>
  <si>
    <t>vnější rozměry okenního rámu 78 x 118 cm</t>
  </si>
  <si>
    <t>Tyč ovládací k oknům /80 cm/</t>
  </si>
  <si>
    <t>Montáž střešních oken rozměr 55/78 cm</t>
  </si>
  <si>
    <t>Okno střešní š. 55 x v. 78 cm</t>
  </si>
  <si>
    <t>Lemování okna 55 x  78 cm</t>
  </si>
  <si>
    <t>Lemování se zateplovací sadou. Lemování na profilovanou krytinu se zateplovací sadou.  Výhodné a praktické spojení lemování  a zateplovací sady  dodávané v jednom balení. Lemování zajišťuje vodotěsnost a ochranu proti povětrnostním vlivům. Spolehlivá, jednoduchá a rychlá montáž s důkladným zateplením  střešního okna i v těžko dostupných detailech. Lemování, zateplovací sada, drenážní žlábek a hydroizolační fólie jsou dodávány v jednom balení.  • Pro montáž samostatného střešního okna do profilované střešní krytiny o výšce do 120 mm.  • Standardní provedení z hliníku v neutrální šedé barvě. • Pro střechy se sklonem 15° až 90°.</t>
  </si>
  <si>
    <t>Markýza ovládání ruční Standard - venkovní stínění</t>
  </si>
  <si>
    <t>vnější rozměry okenního rámu 55 x 78 cm</t>
  </si>
  <si>
    <t>Montáž střešních oken rozměr 78/98 - 118 cm</t>
  </si>
  <si>
    <t>Okno střešní  š. 78 x v. 98 cm</t>
  </si>
  <si>
    <t>Lemování okna 78 x  98 cm</t>
  </si>
  <si>
    <t>Lemování se zateplovací sadou. Lemování na profilovanou krytinu se zateplovací sadou.  Výhodné a praktické spojení lemování a zateplovací sady dodávané v jednom balení. Lemování zajišťuje vodotěsnost a ochranu proti povětrnostním vlivům. Spolehlivá, jednoduchá a rychlá montáž s důkladným zateplením  střešního okna i v těžko dostupných detailech. Lemování, zateplovací sada, drenážní žlábek a hydroizolační fólie jsou dodávány v jednom balení.  • Pro montáž samostatného střešního okna do profilované střešní krytiny o výšce do 120 mm.  • Standardní provedení z hliníku v neutrální šedé barvě. • Pro střechy se sklonem 15° až 90°.</t>
  </si>
  <si>
    <t>Markýza ovládání ruční Velux MHL MK04 Standard</t>
  </si>
  <si>
    <t>vnější rozměry okenního rámu 78 x 98 cm</t>
  </si>
  <si>
    <t>Přesun hmot pro truhlářské konstr., výšky do 12 m</t>
  </si>
  <si>
    <t>2227622*0,01</t>
  </si>
  <si>
    <t>Konstrukce doplňkové stavební (zámečnické)</t>
  </si>
  <si>
    <t>Vstupní portál - AL -  D+M</t>
  </si>
  <si>
    <t>viz výpis výplní otvorů</t>
  </si>
  <si>
    <t>Atypické ocelové konstrukce D+M - viz výpis</t>
  </si>
  <si>
    <t>50 - 100 kg/kus</t>
  </si>
  <si>
    <t>98*2</t>
  </si>
  <si>
    <t>65*2</t>
  </si>
  <si>
    <t>viz TZ a výkres č.07-12, výpis zámečnických výrobků</t>
  </si>
  <si>
    <t>Demontáž atypických ocelových konstr. do100 kg</t>
  </si>
  <si>
    <t xml:space="preserve">rozřezání a likvidace
</t>
  </si>
  <si>
    <t>75*4</t>
  </si>
  <si>
    <t>Demontáž atypických ocelových konstrukcí</t>
  </si>
  <si>
    <t>do 50 kg/kus</t>
  </si>
  <si>
    <t>15*3</t>
  </si>
  <si>
    <t>V položce není kalkulován poplatek za skládku pro vybouranou suť. Tyto náklady se oceňují individuálně podle místních podmínek.</t>
  </si>
  <si>
    <t>Montáž vzduchotechnické mřížky s prostupem</t>
  </si>
  <si>
    <t>Žaluzie protidešťová PDZM 600×500</t>
  </si>
  <si>
    <t>Žaluzie protidešťové  Protidešťová žaluzie chrání nasávací a výfukové otvory vzduchotechnických zařízení před nečistotami, deštěm, sněhem nebo proti vniknutí drobných živočichů. Je vyrobena z pravoúhlého rámu, do kterého jsou upevněny vodorovné lamely. Žaluzie jsou určeny pro vzdušiny bez abrazivních, chemických a lepivých příměsí.  provedení pozink + upevňovací rá</t>
  </si>
  <si>
    <t>Přesun hmot pro zámečnické konstr., výšky do 12 m</t>
  </si>
  <si>
    <t>385381*0,01</t>
  </si>
  <si>
    <t>Podlahy z dlaždic</t>
  </si>
  <si>
    <t>Montáž podlah keram.,hladké, tmel, 30x30 cm</t>
  </si>
  <si>
    <t xml:space="preserve"> (lepidlo),  (spár.hmota)</t>
  </si>
  <si>
    <t>0,3*0,9*5</t>
  </si>
  <si>
    <t>0,3*1,1*5</t>
  </si>
  <si>
    <t>Dlažba Taurus Granit matná schodovka 300x300x9 mm</t>
  </si>
  <si>
    <t>;ztratné 15%; 0,45</t>
  </si>
  <si>
    <t>Slinuté neglazované obkladové prvky s velmi nízkou nasákavostí pod 0,5 %, určené k obkladům podlah v exteriérech a interiérech, které jsou vystaveny povětrnostním vlivům a vysokému až extremnímu mechanickému namáhání, obrusu a znečištění.  11 ks/m</t>
  </si>
  <si>
    <t>Vyrovnání podkladů samonivel. hmotou tl. do 10 mm</t>
  </si>
  <si>
    <t>3,15*0,3*2+1,1*5*0,3</t>
  </si>
  <si>
    <t>samonivelační podkladní potěr</t>
  </si>
  <si>
    <t>(3,15*0,3*2+1,1*5*0,3)*1,8*10</t>
  </si>
  <si>
    <t>;ztratné 5%; 3,186</t>
  </si>
  <si>
    <t>Obklad soklíků keram.rovných, tmel,výška 10 cm</t>
  </si>
  <si>
    <t>lep+penetr.+spár.</t>
  </si>
  <si>
    <t>2,2*2+5,2*2</t>
  </si>
  <si>
    <t>Spotřeba lepidla pro zubovou stěrku 6 mm, spotřeba spárovací hmoty pro spáru šířky 5, výšky 8 mm</t>
  </si>
  <si>
    <t>Obkládačka tmavě šedá mat</t>
  </si>
  <si>
    <t>(2,2*2+5,2*2)*0,1</t>
  </si>
  <si>
    <t>13*0,1</t>
  </si>
  <si>
    <t>;ztratné 25%; 0,695</t>
  </si>
  <si>
    <t>glazované keramické obkladové prvky</t>
  </si>
  <si>
    <t>Řezání dlaždic tl. 30 mm diamantovým kotoučem</t>
  </si>
  <si>
    <t>4,65*2</t>
  </si>
  <si>
    <t>Položka obsahuje : - rozměření a vyznačení řezu, - řezání obkladaček</t>
  </si>
  <si>
    <t>Vložení těsnicího provazce do dilatační spáry (vodorové/svislé)</t>
  </si>
  <si>
    <t xml:space="preserve">" dilatace musí být přiznány po celém obvodu budov v rámci ETICS, oplechování střech, apod.
" bude provedeno proříznutí spáry a vložen pružný těsnící provazec zabraňující průvzdušnosti dilatační spáry
" v rámci ETICS bude použito systémových dilatačních profilů (průběžných, rohových) a krycích zátek pro zakrytí dilatačních spár
</t>
  </si>
  <si>
    <t>Neobsahuje žádný materiál.</t>
  </si>
  <si>
    <t>Šňůra těsnicí plná PE d 20 mm bal. 50 m</t>
  </si>
  <si>
    <t>;ztratné 10%; 1,645</t>
  </si>
  <si>
    <t>Pružné šňůry plného profilu z pěnového polyetylenu pro utěsňování dynamicky namáhaných spár a prasklin.  Použití  - výplň dilatačních spár litých podlah - do spár při osazování oken a zárubní - utěsňování výplní v rámech - do mezipanelových spár - do všech spár vzniklých ve stavebnictví  Barva: šedočerná Návin: 50</t>
  </si>
  <si>
    <t>Přesun hmot pro podlahy z dlaždic, výšky do 6 m</t>
  </si>
  <si>
    <t>16678*0,01</t>
  </si>
  <si>
    <t>Nátěry</t>
  </si>
  <si>
    <t>Nátěr tesařských konstrukcí impregnace karbolín 2x</t>
  </si>
  <si>
    <t>389,103*(2*0,04+2*0,08)</t>
  </si>
  <si>
    <t>;ztratné 10%; 9,338472</t>
  </si>
  <si>
    <t>Nátěr syntetický OK "C" nebo "CC" 1x + 2x email</t>
  </si>
  <si>
    <t>Přípojková skříň elektřiny. Nový ochranný nátěr + informační nálepka. Do skříně nebude zasahováno.</t>
  </si>
  <si>
    <t>0,24*2</t>
  </si>
  <si>
    <t>Malby</t>
  </si>
  <si>
    <t>Malba disperzní interiérová, výška do 3,8 m</t>
  </si>
  <si>
    <t>Klasik 1barevná, 2x nátěr, 1x penetrace</t>
  </si>
  <si>
    <t>Zasklívání</t>
  </si>
  <si>
    <t>Vysklívání střešních konstrukcí netmelených</t>
  </si>
  <si>
    <t>6*0,85*2</t>
  </si>
  <si>
    <t>Zasklívání zábradlí do plochy 4 m2 - D+M</t>
  </si>
  <si>
    <t>sklem bezpečnostním 6  mm s mléčnou fólií do lišt vč. zasklívacích lišt
viz výpis zámečnických výrobků</t>
  </si>
  <si>
    <t>(0,93*0,82*2+1,12*0,82*2)*2</t>
  </si>
  <si>
    <t>(0,94*0,82*1+0,71*0,82*2)*2</t>
  </si>
  <si>
    <t>Přesun hmot pro zasklívání, výšky do 12 m</t>
  </si>
  <si>
    <t>23110*0,01</t>
  </si>
  <si>
    <t>Hodinové zúčtovací sazby (HZS)</t>
  </si>
  <si>
    <t>HZS - demontáž a zpětná montáž informačních tabulí,čidel, prodloužení odvětrání</t>
  </si>
  <si>
    <t>;sateleitní antény;</t>
  </si>
  <si>
    <t>čidla;</t>
  </si>
  <si>
    <t>prvky alarmu na fasádě;</t>
  </si>
  <si>
    <t>;klima jednotky;</t>
  </si>
  <si>
    <t>;plastové potrubí odvodu kondenzátu</t>
  </si>
  <si>
    <t>;zahrádky květináčů</t>
  </si>
  <si>
    <t>;antnní konzoly</t>
  </si>
  <si>
    <t>Lešení a stavební výtahy</t>
  </si>
  <si>
    <t>Lešení lehké pomocné, výška podlahy do 1,2 m</t>
  </si>
  <si>
    <t>pod dobu stavebních prací na dané konstrukci</t>
  </si>
  <si>
    <t>0,8*1*(24+8+1)</t>
  </si>
  <si>
    <t>9,8+4,2+2,2*1*2</t>
  </si>
  <si>
    <t>2,85*1*6</t>
  </si>
  <si>
    <t>Montáž lešení leh.řad.s podlahami,š.1,2 m, H 10 m</t>
  </si>
  <si>
    <t>((1,2+5,17+(0,465+1,2)*2+4,96)*7,5+(5,03+2*1,2)*9,5)*2+7,5*(5,16+15,2+1,2)</t>
  </si>
  <si>
    <t>(15,07+1,2*2)*7,2+(6,0+1,2)*10+15+14</t>
  </si>
  <si>
    <t>(2,7+8)*4*3+5*2</t>
  </si>
  <si>
    <t>Příplatek za každý měsíc použití lešení k pol.1041</t>
  </si>
  <si>
    <t>887,954*3</t>
  </si>
  <si>
    <t>Demontáž lešení leh.řad.s podlahami,š.1,2 m,H 40 m</t>
  </si>
  <si>
    <t>887,954</t>
  </si>
  <si>
    <t>Montáž ochranné sítě z umělých vláken</t>
  </si>
  <si>
    <t>749,554</t>
  </si>
  <si>
    <t>Demontáž ochranné sítě z umělých vláken</t>
  </si>
  <si>
    <t>Příplatek za každý měsíc použití sítí k pol. 4011</t>
  </si>
  <si>
    <t>749,554*3</t>
  </si>
  <si>
    <t>Ochrana střešní krytiny sousedního objektu</t>
  </si>
  <si>
    <t>včetně dodávky textílie  a OSB</t>
  </si>
  <si>
    <t>15,5*1,2+19,2*1,2</t>
  </si>
  <si>
    <t>textílie, OSB, podlážky,</t>
  </si>
  <si>
    <t>Různé dokončovací konstrukce a práce na pozemních stavbách</t>
  </si>
  <si>
    <t>Vyčištění budov o výšce podlaží do 4 m</t>
  </si>
  <si>
    <t>(58,95+93,93)</t>
  </si>
  <si>
    <t>Chemické kotvy do betonu, hl. 110 mm, M 12, ampule</t>
  </si>
  <si>
    <t>4*2*2+4*2*2</t>
  </si>
  <si>
    <t>V položce je zakalkulováno vyvrtání a vyčištění otvoru požadovaného průměru a hloubky, zasunutí ampule s chemickou kotvou do otvoru a zavrtání svorníku s hrotem, maticí a podložkou pozink. CH - M12 x 220/90 GV. Položka je určena i pro kotvy do zdiva z plných cihel.</t>
  </si>
  <si>
    <t>Chemické kotvy do betonu, hl. 90 mm, M 10, ampule</t>
  </si>
  <si>
    <t>2*2*2*2</t>
  </si>
  <si>
    <t>V položce je zakalkulováno vyvrtání a vyčištění otvoru požadovaného průměru a hloubky, zasunutí ampule s chemickou kotvou do otvoru a zavrtání svorníku s hrotem, maticí a podložkou pozink. CH - M10 x 170/57 GV. Položka je určena i pro kotvy do zdiva z plných cihel.</t>
  </si>
  <si>
    <t>Vyklízení a čištění zametáním v místnostech a chodbách - půda</t>
  </si>
  <si>
    <t>182,2</t>
  </si>
  <si>
    <t>Chemické kotvy, cihly duté, hl. 85 mm, M8, síťka</t>
  </si>
  <si>
    <t>určená pro kotvení přes ETICS tl. 160 mm a pro ukotvění konzoly antény</t>
  </si>
  <si>
    <t>3*3</t>
  </si>
  <si>
    <t>V položce je zakalkulováno vyvrtání otvoru požadovaného průměru a hloubky, zasunutí plastové síťky (punčošky) KS d 12 x 50, vyplnění síťky chemickou maltou POLY pomocí aplikační pistole z patrony o obsahu 380 ml a zasunutí svorníku pro chemické kotvení s hrotem, maticí a podložkou pozink. EU - M8 x 130/35 GV. Položka je určena pro kotvy do zdiva z dutých cihel, Porotherm atd</t>
  </si>
  <si>
    <t>Dokončovací konstrukce na pozemních stavbách</t>
  </si>
  <si>
    <t>Výtažné zkoušky kotev ETAG, odtržné zkoušky lepidla, provedení vzorků barev</t>
  </si>
  <si>
    <t>výtažné zkoušky kotev zateplovacího systému dle ETAG 014, které stanoví druh kotev zateplovacího systému (zajistí zhotovitel stavby); kotvy budou zapu</t>
  </si>
  <si>
    <t>Bourání konstrukcí</t>
  </si>
  <si>
    <t>Bourání mazanin betonových tl. 10 cm, nad 4 m2</t>
  </si>
  <si>
    <t>ručně tl. mazaniny 10 cm</t>
  </si>
  <si>
    <t>(1,1*2,2*2+2,835*1,6*2-2*1,4*0,6/2)*0,1</t>
  </si>
  <si>
    <t>Dočištění povrchu po vybourání dlažeb, MC do 50%</t>
  </si>
  <si>
    <t>(1,1*2,2*2+2,835*1,6*2-2*1,4*0,6/2)</t>
  </si>
  <si>
    <t>Bourání soklíků z dlažeb keramických výšky</t>
  </si>
  <si>
    <t>15*2+0,465*4-3,15*2+5,0+14,91-1,2+0,15*3*2+15+1,0+6,03+2,35+1,8+1,95+0,61+0,25+2,1-1,0*4+0,15*4*2</t>
  </si>
  <si>
    <t>Bourání dlažeb keramických tl.10 mm, nad 1 m2</t>
  </si>
  <si>
    <t>ručně, dlaždice keramické</t>
  </si>
  <si>
    <t>Přisekání plošné zdiva cihelného na MVC tl. 10 cm</t>
  </si>
  <si>
    <t xml:space="preserve">Množství stanovit dle skutečnosti    
</t>
  </si>
  <si>
    <t>(5,15+10,385+10,52+14,91+4,75*2+15,0)*0,5</t>
  </si>
  <si>
    <t>Vyvěšení dřevěných okenních křídel pl. do 1,5 m2</t>
  </si>
  <si>
    <t>24*2+1+13</t>
  </si>
  <si>
    <t>Položka obsahuje náklady na vyvěšení křídel, jejich uložení a zpětné zavěšení po provedených stavebních úpravách. Položka se používá i pro vyvěšení křídel určených k likvidaci</t>
  </si>
  <si>
    <t>Vybourání dřevěných rámů oken jednoduch. pl. 2 m2</t>
  </si>
  <si>
    <t>1,2*1,2*16+1,5*1,2*8</t>
  </si>
  <si>
    <t>1,2*1,2*6+0,9*2,1*4+1,2*0,9*4</t>
  </si>
  <si>
    <t>V položce není kalkulována manipulace se sutí, která se oceňuje samostatně položkami souboru 979. V položce není zakalkulováno vyvěšení křídel. Tyto práce se oceňují samostatně položkami souboru 968 06 -11 Vyvěšení dřevěvných křídel. Položka se používá pro okna pevná nebo s křídly otevíratelnými</t>
  </si>
  <si>
    <t>Vybourání dřevěných rámů oken jednoduch. pl. 1 m2</t>
  </si>
  <si>
    <t>1,2*0,6*1+0,6*0,6*2</t>
  </si>
  <si>
    <t>Vybourání dřevěných rámů oken jednoduch. pl. 4 m2</t>
  </si>
  <si>
    <t>1,2*2,1*1+1,2*1,925*1+0,9*2,825*1</t>
  </si>
  <si>
    <t>Vybourání dřevěných rámů oken jednoduch. nad 4 m2</t>
  </si>
  <si>
    <t>3,0*2,1*6</t>
  </si>
  <si>
    <t>Bourání parapetů dřevěných š. do 25 cm</t>
  </si>
  <si>
    <t>1,2*28+1,5*8+3*6+0,9*5+0,6*2+0,8*24</t>
  </si>
  <si>
    <t>V položce není kalkulována manipulace se sutí, která se oceňuje samostatně položkami souboru 979.</t>
  </si>
  <si>
    <t>Vyvěšení dřevěných dveřních křídel pl. do 2 m2</t>
  </si>
  <si>
    <t>4*2+5</t>
  </si>
  <si>
    <t>Vybourání dřevěných dveřních zárubní pl. nad 2 m2</t>
  </si>
  <si>
    <t>3,150*2,825*2+1,2*2,825*1+1,0*2,825*4</t>
  </si>
  <si>
    <t>V položce není kalkulována manipulace se sutí, která se oceňuje samostatně položkami souboru 979. V položce není zakalkulováno vyvěšení dveřních křídel. Tyto práce se oceňují samostatně položkami souboru 968 06 -11 Vyvěšení dřevěných křídel.</t>
  </si>
  <si>
    <t>DMTZ podhledu SDK, kovová kce., 1xoplášť.12,5 mm</t>
  </si>
  <si>
    <t>Demontáž podhledu sádrokartonového,  s jednoduchou ocelovou konstrukcí, 1x opláštěný tl. 12,5 mm, bez minerální izolace.</t>
  </si>
  <si>
    <t>Bourání dlažeb keramických tl.10 mm, pl. do 1 m2</t>
  </si>
  <si>
    <t>0,3*1,1*5 +0,3* 3,15*2</t>
  </si>
  <si>
    <t>V položce není kalkulována manipulace se sutí, která se oceňuje samostatně položkami souboru 979.  V položce nejsou zakalkulovány náklady na bourání podkladního lože pod dlažbou</t>
  </si>
  <si>
    <t>Prorážení otvorů a ostatní bourací práce</t>
  </si>
  <si>
    <t>Vybourání kovových zábradlí a madel</t>
  </si>
  <si>
    <t xml:space="preserve">výplň ocelová tyčovina
</t>
  </si>
  <si>
    <t>(1,1*2+2,2)*3+(1,55+1,05)*2</t>
  </si>
  <si>
    <t>Vybourání kov.dvířek včetně rámu ze zdi cih</t>
  </si>
  <si>
    <t>Demontáž zkorodovaných dvířek HUP včetně rámu.</t>
  </si>
  <si>
    <t>Položka je určena pro vybourání dvířek ze zdi cihelné nebo kamenné. V položce není kalkulována manipulace se sutí, která se oceňuje samostatně položkami souboru 979.</t>
  </si>
  <si>
    <t>Montáž Hromosvodu</t>
  </si>
  <si>
    <t>PPV</t>
  </si>
  <si>
    <t>viz projekt hromosvodu</t>
  </si>
  <si>
    <t>Podružný materiál</t>
  </si>
  <si>
    <t>Označení svodu štítkem včetně dodávky štítku</t>
  </si>
  <si>
    <t>Svorka hromosvodová  SU včetně dodávky</t>
  </si>
  <si>
    <t>Hloubkový zemnič+ včetně doddávky</t>
  </si>
  <si>
    <t>Svorka zkušební SZ +chranný úhelník+držák včetně dodávky</t>
  </si>
  <si>
    <t>Svorka hromosvodová SP1  včetně dodávky</t>
  </si>
  <si>
    <t>Svorka hromosvodová SO  včetně dodávky</t>
  </si>
  <si>
    <t>Tyč jímací 1,5m včetně i včetně dodávky izol.držáků a upevňovací objímky  a dodávky jím.tyče 1,5m</t>
  </si>
  <si>
    <t>Krabice po omítku nerez včetně svorka zkušební SZ</t>
  </si>
  <si>
    <t>Vedení uzemňovací v zemi FeZn pr.10 včetně dodávky FeZn pr.10</t>
  </si>
  <si>
    <t>Vedení svodové AlMgSi pr.8 -včetně  podpěr na hřeben  a dodávky vodiče AlMgSi pr.8 a podpěr</t>
  </si>
  <si>
    <t>Vedení svodové AlMgSi pr.8včetně dodávky a podpěr na svislé  svody</t>
  </si>
  <si>
    <t>Vedení svodové AlMgSi pr.8 - včetně podpěr na šikmou střechu a dodávky  vodiče AlMgSi pr.8 a podpěr</t>
  </si>
  <si>
    <t>Vedení svodové AlMgSi pr.8 izolovaný včetně dodávky a podpěr na svislé skryté svody svody</t>
  </si>
  <si>
    <t>Měření a revize  HROMOSVODU</t>
  </si>
  <si>
    <t>Demontáž stávajícího hromosvodu</t>
  </si>
  <si>
    <t>HZS - Revize</t>
  </si>
  <si>
    <t>Elektroinstalce</t>
  </si>
  <si>
    <t>Demontáž svítidla nástěnného přisazeného</t>
  </si>
  <si>
    <t>Demontáž stávajícího přisazeného fasádního svítidla. Prodloužení kabeláže pro nové svítidlo osazené na zateplovanou fasádu.</t>
  </si>
  <si>
    <t>Demontáž stávajícího zvonkového tabla. Přemístění na líc zateplené fasády. Přepojení kabeláže.</t>
  </si>
  <si>
    <t>včetně práce a doplňkového materiálu</t>
  </si>
  <si>
    <t>Montáž LED svítidla nástěnného přisazeného</t>
  </si>
  <si>
    <t>Napojení na stávající rozvod elektřiny. Kotvení přes zateplenou fasádu (včetně kotevní sady)</t>
  </si>
  <si>
    <t>Přípravné práce</t>
  </si>
  <si>
    <t>Přepojení svítidla, teplotních a jiných čidel</t>
  </si>
  <si>
    <t>Ornitologický a chiropterologický průzkum před zahájením stavební činnosti</t>
  </si>
  <si>
    <t>Ornitologický a chiropterologický průzkum před zahájením stavební činnosti, na základě kterého bude navržen bezkonfliktní postup stavebních prací s oh</t>
  </si>
  <si>
    <t>Budka pro rorýse trojitá, dodávka  + montáž</t>
  </si>
  <si>
    <t>Budka pro netopýry, dodávka  + montáž</t>
  </si>
  <si>
    <t>Přesuny sutí</t>
  </si>
  <si>
    <t>Svislá doprava suti a vybour. hmot za 2.NP a 1.PP</t>
  </si>
  <si>
    <t>Položka je určena pro dopravu suti a vybouraných hmot za prvé podlaží nad nebo pod základním podlažím. Svislá doprava suti ze základního podlaží se neoceňuje. Základním podlažím je zpravidla přízemí</t>
  </si>
  <si>
    <t>Příplatek za každé další podlaží</t>
  </si>
  <si>
    <t>59,36568*2</t>
  </si>
  <si>
    <t>Vnitrostaveništní doprava suti do 10 m</t>
  </si>
  <si>
    <t>59,36568</t>
  </si>
  <si>
    <t>Příplatek k vnitrost. dopravě suti za dalších 5 m</t>
  </si>
  <si>
    <t>59,36568*10</t>
  </si>
  <si>
    <t>Odvoz suti a vybour. hmot na skládku do 1 km</t>
  </si>
  <si>
    <t>Příplatek k odvozu za každý další 1 km</t>
  </si>
  <si>
    <t>Poplatek za skládku suti - směs betonu,cihel,dřeva</t>
  </si>
  <si>
    <t>Přesun hmot, opravy vněj. plášťů výšky do 25 m</t>
  </si>
  <si>
    <t>Ostatní materiál</t>
  </si>
  <si>
    <t>Stříška vchodová D+M</t>
  </si>
  <si>
    <t>2*2</t>
  </si>
  <si>
    <t>Bližší popis stříšky viz výpis výrobků. Bude vyvzorkováno.</t>
  </si>
  <si>
    <t>Způsobilé náklady - vedlejší aktivita</t>
  </si>
  <si>
    <t>Výrobní dokumentace</t>
  </si>
  <si>
    <t>Dokumentace skutečného provedení stavby</t>
  </si>
  <si>
    <t>Otopná tělesa</t>
  </si>
  <si>
    <t>Hydraulické vyregulování otopné soustavy</t>
  </si>
  <si>
    <t>Přesun hmot pro otopná tělesa, výšky do 6 m</t>
  </si>
  <si>
    <t>5000*0,01</t>
  </si>
  <si>
    <t>Doba výstavby:</t>
  </si>
  <si>
    <t>Začátek výstavby:</t>
  </si>
  <si>
    <t>Konec výstavby:</t>
  </si>
  <si>
    <t>Zpracováno dne:</t>
  </si>
  <si>
    <t>21.10.2020</t>
  </si>
  <si>
    <t>Objednatel:</t>
  </si>
  <si>
    <t>Projektant:</t>
  </si>
  <si>
    <t>Zhotovitel:</t>
  </si>
  <si>
    <t>Zpracoval:</t>
  </si>
  <si>
    <t>X18 - okapní chodník</t>
  </si>
  <si>
    <t>X18 - chodník před vstupem</t>
  </si>
  <si>
    <t>X17, X23 - zámková dlažba</t>
  </si>
  <si>
    <t>X18 - okapní chodník;</t>
  </si>
  <si>
    <t>X29 - západní fasáda</t>
  </si>
  <si>
    <t xml:space="preserve"> viz pol. 139601101R00</t>
  </si>
  <si>
    <t>70% zeminy zpět</t>
  </si>
  <si>
    <t>západní fasáda</t>
  </si>
  <si>
    <t>okapní chodník</t>
  </si>
  <si>
    <t>U09 - uliční část - okapní chodník;</t>
  </si>
  <si>
    <t>U09-dvorní část</t>
  </si>
  <si>
    <t>Poz_16 ostění střešních oken</t>
  </si>
  <si>
    <t>Poz_17 ostění střešních oken</t>
  </si>
  <si>
    <t>Poz_18 ostění střešních oken</t>
  </si>
  <si>
    <t>ostění střešních oken</t>
  </si>
  <si>
    <t>U09 - dvorní část</t>
  </si>
  <si>
    <t>zámková dlažba</t>
  </si>
  <si>
    <t>U05</t>
  </si>
  <si>
    <t>U12</t>
  </si>
  <si>
    <t>penetrace pod omítky</t>
  </si>
  <si>
    <t>mozaiková omítka</t>
  </si>
  <si>
    <t>opláštění přesahů střechy</t>
  </si>
  <si>
    <t>U27 (komíny)</t>
  </si>
  <si>
    <t>zateplená plocha</t>
  </si>
  <si>
    <t>ostění</t>
  </si>
  <si>
    <t>sokl v.500-975 mm</t>
  </si>
  <si>
    <t>U06 - stěny podkroví</t>
  </si>
  <si>
    <t>plocha vnitřního ostění a nadpraží</t>
  </si>
  <si>
    <t>sokl v. 2,0 m</t>
  </si>
  <si>
    <t>EPS 160</t>
  </si>
  <si>
    <t>XPS 160</t>
  </si>
  <si>
    <t>FE 80</t>
  </si>
  <si>
    <t>XPS 80</t>
  </si>
  <si>
    <t>EPS 30</t>
  </si>
  <si>
    <t>MW 200</t>
  </si>
  <si>
    <t>odhad 1%</t>
  </si>
  <si>
    <t>30% z plochy fasády</t>
  </si>
  <si>
    <t>U23</t>
  </si>
  <si>
    <t>očištění fasád</t>
  </si>
  <si>
    <t>X17 - zámková dlažba</t>
  </si>
  <si>
    <t>U01 uliční</t>
  </si>
  <si>
    <t>U01, U29 dvorní</t>
  </si>
  <si>
    <t>odečet výplní otvorů</t>
  </si>
  <si>
    <t>U01 - soklová deska - uliční fasáda</t>
  </si>
  <si>
    <t>U01 - soklová deska - dvorní fasáda</t>
  </si>
  <si>
    <t>balkóny</t>
  </si>
  <si>
    <t>U02</t>
  </si>
  <si>
    <t>soklová deska</t>
  </si>
  <si>
    <t>U13</t>
  </si>
  <si>
    <t>U04 - podhled balkónů</t>
  </si>
  <si>
    <t>ostění (okna osazena do líce fasády)</t>
  </si>
  <si>
    <t>U21</t>
  </si>
  <si>
    <t>ker. soklík</t>
  </si>
  <si>
    <t>U15 zídka</t>
  </si>
  <si>
    <t>U21 - uliční fasáda</t>
  </si>
  <si>
    <t>U21 - dvorní fasáda</t>
  </si>
  <si>
    <t>U21 podhledy opláštění přesahů střechy</t>
  </si>
  <si>
    <t>U06 - penetrace</t>
  </si>
  <si>
    <t>odhad 15% viz očištění fasády</t>
  </si>
  <si>
    <t>vnitřní parapet po vybourání oken</t>
  </si>
  <si>
    <t>T01</t>
  </si>
  <si>
    <t>T03</t>
  </si>
  <si>
    <t>T04</t>
  </si>
  <si>
    <t>T05</t>
  </si>
  <si>
    <t>T06</t>
  </si>
  <si>
    <t>T07</t>
  </si>
  <si>
    <t>T08</t>
  </si>
  <si>
    <t>T09</t>
  </si>
  <si>
    <t>T02</t>
  </si>
  <si>
    <t>U04</t>
  </si>
  <si>
    <t>uliční část - U11, U26</t>
  </si>
  <si>
    <t>dvorní část - U11, U26</t>
  </si>
  <si>
    <t>uliční část - - U11, U26</t>
  </si>
  <si>
    <t>X31,U24</t>
  </si>
  <si>
    <t>X33, U25</t>
  </si>
  <si>
    <t>U11</t>
  </si>
  <si>
    <t>U24</t>
  </si>
  <si>
    <t>U25</t>
  </si>
  <si>
    <t>U24 TI tl 120 mm</t>
  </si>
  <si>
    <t>V03</t>
  </si>
  <si>
    <t>X12</t>
  </si>
  <si>
    <t>X11</t>
  </si>
  <si>
    <t>X14</t>
  </si>
  <si>
    <t>V01</t>
  </si>
  <si>
    <t>V02</t>
  </si>
  <si>
    <t>X15 - uliční fasáda</t>
  </si>
  <si>
    <t>X15 - dvorní fasáda</t>
  </si>
  <si>
    <t>lať 40×80</t>
  </si>
  <si>
    <t>X06</t>
  </si>
  <si>
    <t>X07</t>
  </si>
  <si>
    <t>viz plocha střechy</t>
  </si>
  <si>
    <t>latě</t>
  </si>
  <si>
    <t>kontralatě + latě</t>
  </si>
  <si>
    <t>X31, U24</t>
  </si>
  <si>
    <t>nosný rošt pod OSB záklop U24</t>
  </si>
  <si>
    <t>K01</t>
  </si>
  <si>
    <t>K02</t>
  </si>
  <si>
    <t>K03</t>
  </si>
  <si>
    <t>K04</t>
  </si>
  <si>
    <t>K05</t>
  </si>
  <si>
    <t>K06</t>
  </si>
  <si>
    <t>K07</t>
  </si>
  <si>
    <t>X02</t>
  </si>
  <si>
    <t>X08 - uliční fas</t>
  </si>
  <si>
    <t>X08 - dvorní fas</t>
  </si>
  <si>
    <t>X08</t>
  </si>
  <si>
    <t>K14</t>
  </si>
  <si>
    <t>K15</t>
  </si>
  <si>
    <t>K16</t>
  </si>
  <si>
    <t>K17</t>
  </si>
  <si>
    <t>K18</t>
  </si>
  <si>
    <t>K19</t>
  </si>
  <si>
    <t>K20</t>
  </si>
  <si>
    <t>K21</t>
  </si>
  <si>
    <t>K22</t>
  </si>
  <si>
    <t>K23</t>
  </si>
  <si>
    <t>K30</t>
  </si>
  <si>
    <t>K33</t>
  </si>
  <si>
    <t>K34</t>
  </si>
  <si>
    <t>K32</t>
  </si>
  <si>
    <t>K24</t>
  </si>
  <si>
    <t>K25</t>
  </si>
  <si>
    <t>K26</t>
  </si>
  <si>
    <t>K27</t>
  </si>
  <si>
    <t>K28</t>
  </si>
  <si>
    <t>K29</t>
  </si>
  <si>
    <t>K31</t>
  </si>
  <si>
    <t>K08</t>
  </si>
  <si>
    <t>K09</t>
  </si>
  <si>
    <t>K35</t>
  </si>
  <si>
    <t>K10</t>
  </si>
  <si>
    <t>K11</t>
  </si>
  <si>
    <t>K12</t>
  </si>
  <si>
    <t>K13</t>
  </si>
  <si>
    <t>K8, K9</t>
  </si>
  <si>
    <t>K10, K11</t>
  </si>
  <si>
    <t>uliční fasáda</t>
  </si>
  <si>
    <t>dvorní fasáda</t>
  </si>
  <si>
    <t>horní část střechy</t>
  </si>
  <si>
    <t>70% původní krytiny - viz plocha střechy</t>
  </si>
  <si>
    <t>30% nových tašek viz plocha střechy</t>
  </si>
  <si>
    <t>vrcholové</t>
  </si>
  <si>
    <t>vikýře, nároží</t>
  </si>
  <si>
    <t>V05</t>
  </si>
  <si>
    <t>poz_16</t>
  </si>
  <si>
    <t>Poz_16</t>
  </si>
  <si>
    <t>Poz 16</t>
  </si>
  <si>
    <t>Poz_17</t>
  </si>
  <si>
    <t>Poz.17</t>
  </si>
  <si>
    <t>Poz_18</t>
  </si>
  <si>
    <t>poz_12</t>
  </si>
  <si>
    <t>Z01 - zábradlí</t>
  </si>
  <si>
    <t>Z02 - zábradlí</t>
  </si>
  <si>
    <t>stříška nad hlavním vstupem</t>
  </si>
  <si>
    <t>X10</t>
  </si>
  <si>
    <t>X20</t>
  </si>
  <si>
    <t>X21</t>
  </si>
  <si>
    <t>V04</t>
  </si>
  <si>
    <t>prahy balkónů</t>
  </si>
  <si>
    <t>prahy dveří</t>
  </si>
  <si>
    <t>zádveří vstupu</t>
  </si>
  <si>
    <t>zádveří</t>
  </si>
  <si>
    <t>soklík balkónu</t>
  </si>
  <si>
    <t>sokl zadního vstupu</t>
  </si>
  <si>
    <t>U21 - latě střešní římsy</t>
  </si>
  <si>
    <t>U28</t>
  </si>
  <si>
    <t>ostění oken</t>
  </si>
  <si>
    <t>stříška vstupu</t>
  </si>
  <si>
    <t>Z01</t>
  </si>
  <si>
    <t>Z02</t>
  </si>
  <si>
    <t>X26</t>
  </si>
  <si>
    <t>X27</t>
  </si>
  <si>
    <t>X28</t>
  </si>
  <si>
    <t>střešní okna + ostění U22</t>
  </si>
  <si>
    <t>podhledy balkonu a podloubí</t>
  </si>
  <si>
    <t>komíny</t>
  </si>
  <si>
    <t>;3měsíce;</t>
  </si>
  <si>
    <t>3 měsíce</t>
  </si>
  <si>
    <t>Z1+Z2</t>
  </si>
  <si>
    <t>podlaha půdy</t>
  </si>
  <si>
    <t>X10 - podlaha balkónů</t>
  </si>
  <si>
    <t>X16 - fasáda</t>
  </si>
  <si>
    <t>X02 - uliční fas</t>
  </si>
  <si>
    <t>X02 - dvorní fas</t>
  </si>
  <si>
    <t>X02 uliční fasáda</t>
  </si>
  <si>
    <t>X02 dvorní fas</t>
  </si>
  <si>
    <t>x02</t>
  </si>
  <si>
    <t>X04 a X05</t>
  </si>
  <si>
    <t>X06,X07 ostění střešních oken</t>
  </si>
  <si>
    <t>X30 - prahy balkónů</t>
  </si>
  <si>
    <t>X30 - prahy dveří</t>
  </si>
  <si>
    <t>X10 - balkóny</t>
  </si>
  <si>
    <t>X24</t>
  </si>
  <si>
    <t>2% z materiálu</t>
  </si>
  <si>
    <t>3% z materiálu</t>
  </si>
  <si>
    <t>X19</t>
  </si>
  <si>
    <t>X13</t>
  </si>
  <si>
    <t>3NP-4NP</t>
  </si>
  <si>
    <t>V06</t>
  </si>
  <si>
    <t> </t>
  </si>
  <si>
    <t>Tomáš Sýkora</t>
  </si>
  <si>
    <t>MJ</t>
  </si>
  <si>
    <t>Soubor</t>
  </si>
  <si>
    <t>m2</t>
  </si>
  <si>
    <t>m3</t>
  </si>
  <si>
    <t>kg</t>
  </si>
  <si>
    <t>kus</t>
  </si>
  <si>
    <t>m</t>
  </si>
  <si>
    <t>%</t>
  </si>
  <si>
    <t>h</t>
  </si>
  <si>
    <t>ks</t>
  </si>
  <si>
    <t>t</t>
  </si>
  <si>
    <t>Množství</t>
  </si>
  <si>
    <t>Cena/MJ</t>
  </si>
  <si>
    <t>(Kč)</t>
  </si>
  <si>
    <t>Náklady (Kč)</t>
  </si>
  <si>
    <t>Dodávka</t>
  </si>
  <si>
    <t>Celkem:</t>
  </si>
  <si>
    <t>Montáž</t>
  </si>
  <si>
    <t>Celkem</t>
  </si>
  <si>
    <t>Cenová</t>
  </si>
  <si>
    <t>soustava</t>
  </si>
  <si>
    <t>RTS II / 2020</t>
  </si>
  <si>
    <t>vlastní</t>
  </si>
  <si>
    <t>RTS I / 2022</t>
  </si>
  <si>
    <t>RTS II / 2021</t>
  </si>
  <si>
    <t>Přesuny</t>
  </si>
  <si>
    <t>Typ skupiny</t>
  </si>
  <si>
    <t>HSV mat</t>
  </si>
  <si>
    <t>HSV prac</t>
  </si>
  <si>
    <t>PSV mat</t>
  </si>
  <si>
    <t>PSV prac</t>
  </si>
  <si>
    <t>Mont mat</t>
  </si>
  <si>
    <t>Mont prac</t>
  </si>
  <si>
    <t>Ostatní mat.</t>
  </si>
  <si>
    <t>0</t>
  </si>
  <si>
    <t>M000VD_</t>
  </si>
  <si>
    <t>M005VD_</t>
  </si>
  <si>
    <t>11_</t>
  </si>
  <si>
    <t>13_</t>
  </si>
  <si>
    <t>16_</t>
  </si>
  <si>
    <t>17_</t>
  </si>
  <si>
    <t>18_</t>
  </si>
  <si>
    <t>180VD_</t>
  </si>
  <si>
    <t>19_</t>
  </si>
  <si>
    <t>28_</t>
  </si>
  <si>
    <t>34_</t>
  </si>
  <si>
    <t>59_</t>
  </si>
  <si>
    <t>60_</t>
  </si>
  <si>
    <t>61_</t>
  </si>
  <si>
    <t>62_</t>
  </si>
  <si>
    <t>63_</t>
  </si>
  <si>
    <t>64_</t>
  </si>
  <si>
    <t>711_</t>
  </si>
  <si>
    <t>713_</t>
  </si>
  <si>
    <t>721_</t>
  </si>
  <si>
    <t>725_</t>
  </si>
  <si>
    <t>728_</t>
  </si>
  <si>
    <t>731_</t>
  </si>
  <si>
    <t>762_</t>
  </si>
  <si>
    <t>763_</t>
  </si>
  <si>
    <t>764_</t>
  </si>
  <si>
    <t>765_</t>
  </si>
  <si>
    <t>766_</t>
  </si>
  <si>
    <t>767_</t>
  </si>
  <si>
    <t>771_</t>
  </si>
  <si>
    <t>783_</t>
  </si>
  <si>
    <t>784_</t>
  </si>
  <si>
    <t>787_</t>
  </si>
  <si>
    <t>90_</t>
  </si>
  <si>
    <t>94_</t>
  </si>
  <si>
    <t>95_</t>
  </si>
  <si>
    <t>959VD_</t>
  </si>
  <si>
    <t>96_</t>
  </si>
  <si>
    <t>97_</t>
  </si>
  <si>
    <t>M22_</t>
  </si>
  <si>
    <t>M65_</t>
  </si>
  <si>
    <t>M950VD_</t>
  </si>
  <si>
    <t>S_</t>
  </si>
  <si>
    <t>Z99999_</t>
  </si>
  <si>
    <t>735_</t>
  </si>
  <si>
    <t>SO-01_9_</t>
  </si>
  <si>
    <t>SO-01_1_</t>
  </si>
  <si>
    <t>SO-01_2_</t>
  </si>
  <si>
    <t>SO-01_3_</t>
  </si>
  <si>
    <t>SO-01_5_</t>
  </si>
  <si>
    <t>SO-01_6_</t>
  </si>
  <si>
    <t>SO-01_71_</t>
  </si>
  <si>
    <t>SO-01_72_</t>
  </si>
  <si>
    <t>SO-01_73_</t>
  </si>
  <si>
    <t>SO-01_76_</t>
  </si>
  <si>
    <t>SO-01_77_</t>
  </si>
  <si>
    <t>SO-01_78_</t>
  </si>
  <si>
    <t>SO-01_Z_</t>
  </si>
  <si>
    <t>SO-02_9_</t>
  </si>
  <si>
    <t>SO-02_73_</t>
  </si>
  <si>
    <t>SO-01_</t>
  </si>
  <si>
    <t>SO-02_</t>
  </si>
  <si>
    <t>MAT</t>
  </si>
  <si>
    <t>WORK</t>
  </si>
  <si>
    <t>CELK</t>
  </si>
  <si>
    <t>ISWORK</t>
  </si>
  <si>
    <t>P</t>
  </si>
  <si>
    <t>M</t>
  </si>
  <si>
    <t>GROUPCODE</t>
  </si>
  <si>
    <t>Slepý stavební rozpočet - rekapitulace</t>
  </si>
  <si>
    <t>Náklady (Kč) - dodávka</t>
  </si>
  <si>
    <t>Náklady (Kč) - Montáž</t>
  </si>
  <si>
    <t>Náklady (Kč) - celkem</t>
  </si>
  <si>
    <t>F</t>
  </si>
  <si>
    <t>T</t>
  </si>
  <si>
    <t>Rozpočtové náklady v Kč</t>
  </si>
  <si>
    <t>A</t>
  </si>
  <si>
    <t>HSV</t>
  </si>
  <si>
    <t>PSV</t>
  </si>
  <si>
    <t>"M"</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</si>
  <si>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</si>
  <si>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</si>
  <si>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</si>
  <si>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</si>
  <si>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</si>
  <si>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</si>
  <si>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</si>
  <si>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</si>
  <si>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</si>
  <si>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</si>
  <si>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</si>
  <si>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</si>
  <si>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</si>
  <si>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</si>
  <si>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</si>
  <si>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</si>
  <si>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</si>
  <si>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</si>
  <si>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</si>
  <si>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</si>
  <si>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</si>
  <si>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</si>
  <si>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</si>
  <si>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</si>
  <si>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</si>
  <si>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</si>
  <si>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</si>
  <si>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</si>
  <si>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</si>
  <si>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</si>
  <si>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</si>
  <si>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</si>
  <si>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</si>
  <si>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</si>
  <si>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IČO/DIČ:</t>
  </si>
  <si>
    <t>Položek:</t>
  </si>
  <si>
    <t>Datum:</t>
  </si>
  <si>
    <t>Náklady na umístění stavby (NUS)</t>
  </si>
  <si>
    <t>73313190/CZ7712155616</t>
  </si>
  <si>
    <t>Krycí list slepého rozpočtu (SO-01 - Obytná část - Hlavní způsobilé náklady)</t>
  </si>
  <si>
    <t>Krycí list slepého rozpočtu (SO-02 - Způsobilé náklady - vedlejší aktivita)</t>
  </si>
  <si>
    <t>Krycí list slepého rozpočtu (SO-03 - Nezpůsobilé náklady)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</si>
</sst>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dd/mm/yy"/>
    <numFmt numFmtId="165" formatCode="dd\.mmmm\.yy"/>
  </numFmts>
  <fonts count="53">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51"/>
      <name val="Arial"/>
      <family val="0"/>
    </font>
    <font>
      <i/>
      <sz val="10"/>
      <color indexed="58"/>
      <name val="Arial"/>
      <family val="0"/>
    </font>
    <font>
      <i/>
      <sz val="10"/>
      <color indexed="59"/>
      <name val="Arial"/>
      <family val="0"/>
    </font>
    <font>
      <i/>
      <sz val="10"/>
      <color indexed="63"/>
      <name val="Arial"/>
      <family val="0"/>
    </font>
    <font>
      <i/>
      <sz val="10"/>
      <color indexed="50"/>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top/>
      <bottom/>
    </border>
    <border>
      <left style="thin"/>
      <right/>
      <top/>
      <bottom style="thin"/>
    </border>
    <border>
      <left/>
      <right/>
      <top style="thin"/>
      <bottom/>
    </border>
    <border>
      <left style="thin"/>
      <right style="thin"/>
      <top style="medium"/>
      <bottom/>
    </border>
    <border>
      <left/>
      <right/>
      <top/>
      <bottom style="thin"/>
    </border>
    <border>
      <left style="thin"/>
      <right style="medium"/>
      <top style="medium"/>
      <bottom/>
    </border>
    <border>
      <left style="medium"/>
      <right style="medium"/>
      <top style="medium"/>
      <bottom/>
    </border>
    <border>
      <left/>
      <right style="thin"/>
      <top/>
      <bottom/>
    </border>
    <border>
      <left style="medium"/>
      <right/>
      <top/>
      <bottom/>
    </border>
    <border>
      <left style="medium"/>
      <right style="medium"/>
      <top style="medium"/>
      <bottom style="medium"/>
    </border>
    <border>
      <left style="thin"/>
      <right/>
      <top style="medium"/>
      <bottom/>
    </border>
    <border>
      <left style="medium"/>
      <right style="thin"/>
      <top style="medium"/>
      <bottom style="medium"/>
    </border>
    <border>
      <left/>
      <right/>
      <top style="medium"/>
      <bottom/>
    </border>
    <border>
      <left style="thin"/>
      <right style="thin"/>
      <top style="medium"/>
      <bottom style="medium"/>
    </border>
    <border>
      <left style="thin"/>
      <right style="thin"/>
      <top style="thin"/>
      <bottom/>
    </border>
    <border>
      <left style="thin"/>
      <right style="thin"/>
      <top style="thin"/>
      <bottom style="thin"/>
    </border>
    <border>
      <left style="thin"/>
      <right style="thin"/>
      <top/>
      <bottom style="thin"/>
    </border>
    <border>
      <left/>
      <right/>
      <top style="thin"/>
      <bottom style="medium"/>
    </border>
    <border>
      <left/>
      <right style="thin"/>
      <top style="thin"/>
      <bottom/>
    </border>
    <border>
      <left style="thin"/>
      <right/>
      <top style="thin"/>
      <bottom style="thin"/>
    </border>
    <border>
      <left/>
      <right style="thin"/>
      <top style="thin"/>
      <bottom style="thin"/>
    </border>
    <border>
      <left style="thin"/>
      <right/>
      <top style="thin"/>
      <bottom/>
    </border>
    <border>
      <left style="medium"/>
      <right style="thin"/>
      <top/>
      <bottom>
        <color indexed="63"/>
      </bottom>
    </border>
    <border>
      <left style="thin"/>
      <right style="thin"/>
      <top/>
      <bottom>
        <color indexed="63"/>
      </bottom>
    </border>
    <border>
      <left style="thin"/>
      <right style="medium"/>
      <top/>
      <bottom>
        <color indexed="63"/>
      </bottom>
    </border>
    <border>
      <left style="medium"/>
      <right style="thin"/>
      <top style="thin"/>
      <bottom>
        <color indexed="63"/>
      </bottom>
    </border>
    <border>
      <left style="thin"/>
      <right style="medium"/>
      <top style="thin"/>
      <bottom>
        <color indexed="63"/>
      </bottom>
    </border>
    <border>
      <left style="thin">
        <color indexed="22"/>
      </left>
      <right style="thin">
        <color indexed="22"/>
      </right>
      <top style="medium">
        <color indexed="22"/>
      </top>
      <bottom/>
    </border>
    <border>
      <left style="medium"/>
      <right style="medium"/>
      <top/>
      <bottom>
        <color indexed="63"/>
      </bottom>
    </border>
    <border>
      <left style="thin">
        <color indexed="22"/>
      </left>
      <right>
        <color indexed="63"/>
      </right>
      <top style="medium">
        <color indexed="22"/>
      </top>
      <bottom>
        <color indexed="63"/>
      </bottom>
    </border>
    <border>
      <left style="thin">
        <color indexed="22"/>
      </left>
      <right style="thin">
        <color indexed="22"/>
      </right>
      <top style="thin">
        <color indexed="22"/>
      </top>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right/>
      <top/>
      <bottom style="medium"/>
    </border>
    <border>
      <left/>
      <right/>
      <top/>
      <bottom style="medium"/>
    </border>
    <border>
      <left/>
      <right style="thin"/>
      <top/>
      <bottom style="medium"/>
    </border>
    <border>
      <left/>
      <right style="thin"/>
      <top style="medium"/>
      <botto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8" fillId="20"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22" borderId="6" applyNumberFormat="0" applyFont="0" applyAlignment="0" applyProtection="0"/>
    <xf numFmtId="43"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185">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vertical="center"/>
      <protection/>
    </xf>
    <xf numFmtId="49" fontId="7" fillId="0" borderId="11"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right" vertical="top"/>
      <protection/>
    </xf>
    <xf numFmtId="49" fontId="12"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15" fillId="0" borderId="0"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horizontal="right" vertical="center"/>
      <protection/>
    </xf>
    <xf numFmtId="0" fontId="1" fillId="0" borderId="18" xfId="0" applyNumberFormat="1" applyFont="1" applyFill="1" applyBorder="1" applyAlignment="1" applyProtection="1">
      <alignment vertical="center"/>
      <protection/>
    </xf>
    <xf numFmtId="49" fontId="7" fillId="0" borderId="18"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vertical="center"/>
      <protection/>
    </xf>
    <xf numFmtId="49" fontId="10" fillId="33"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10" fillId="33" borderId="0" xfId="0" applyNumberFormat="1" applyFont="1" applyFill="1" applyBorder="1" applyAlignment="1" applyProtection="1">
      <alignment horizontal="right" vertical="center"/>
      <protection/>
    </xf>
    <xf numFmtId="49" fontId="3" fillId="0" borderId="20" xfId="0" applyNumberFormat="1" applyFont="1" applyFill="1" applyBorder="1" applyAlignment="1" applyProtection="1">
      <alignment horizontal="left" vertical="center"/>
      <protection/>
    </xf>
    <xf numFmtId="49" fontId="1" fillId="0" borderId="21"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3" fillId="0" borderId="22" xfId="0" applyNumberFormat="1" applyFont="1" applyFill="1" applyBorder="1" applyAlignment="1" applyProtection="1">
      <alignment horizontal="left" vertical="center"/>
      <protection/>
    </xf>
    <xf numFmtId="49" fontId="1" fillId="0" borderId="23" xfId="0" applyNumberFormat="1" applyFont="1" applyFill="1" applyBorder="1" applyAlignment="1" applyProtection="1">
      <alignment horizontal="left" vertical="center"/>
      <protection/>
    </xf>
    <xf numFmtId="49" fontId="3" fillId="0" borderId="24" xfId="0" applyNumberFormat="1" applyFont="1" applyFill="1" applyBorder="1" applyAlignment="1" applyProtection="1">
      <alignment horizontal="left" vertical="center"/>
      <protection/>
    </xf>
    <xf numFmtId="0" fontId="1" fillId="0" borderId="25" xfId="0" applyNumberFormat="1" applyFont="1" applyFill="1" applyBorder="1" applyAlignment="1" applyProtection="1">
      <alignment vertical="center"/>
      <protection/>
    </xf>
    <xf numFmtId="49" fontId="3" fillId="0" borderId="24"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 fontId="1" fillId="0" borderId="23"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49" fontId="17" fillId="34" borderId="26" xfId="0" applyNumberFormat="1" applyFont="1" applyFill="1" applyBorder="1" applyAlignment="1" applyProtection="1">
      <alignment horizontal="center" vertical="center"/>
      <protection/>
    </xf>
    <xf numFmtId="49" fontId="18" fillId="0" borderId="25" xfId="0" applyNumberFormat="1" applyFont="1" applyFill="1" applyBorder="1" applyAlignment="1" applyProtection="1">
      <alignment horizontal="left" vertical="center"/>
      <protection/>
    </xf>
    <xf numFmtId="49" fontId="18" fillId="0" borderId="27"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vertical="center"/>
      <protection/>
    </xf>
    <xf numFmtId="49" fontId="8" fillId="0" borderId="23" xfId="0" applyNumberFormat="1" applyFont="1" applyFill="1" applyBorder="1" applyAlignment="1" applyProtection="1">
      <alignment horizontal="left" vertical="center"/>
      <protection/>
    </xf>
    <xf numFmtId="49" fontId="19" fillId="0" borderId="26"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vertical="center"/>
      <protection/>
    </xf>
    <xf numFmtId="0" fontId="1" fillId="0" borderId="29" xfId="0" applyNumberFormat="1" applyFont="1" applyFill="1" applyBorder="1" applyAlignment="1" applyProtection="1">
      <alignment vertical="center"/>
      <protection/>
    </xf>
    <xf numFmtId="4" fontId="19" fillId="0" borderId="26" xfId="0" applyNumberFormat="1" applyFont="1" applyFill="1" applyBorder="1" applyAlignment="1" applyProtection="1">
      <alignment horizontal="right" vertical="center"/>
      <protection/>
    </xf>
    <xf numFmtId="49" fontId="19" fillId="0" borderId="26" xfId="0" applyNumberFormat="1" applyFont="1" applyFill="1" applyBorder="1" applyAlignment="1" applyProtection="1">
      <alignment horizontal="right" vertical="center"/>
      <protection/>
    </xf>
    <xf numFmtId="0" fontId="1" fillId="0" borderId="30" xfId="0" applyNumberFormat="1" applyFont="1" applyFill="1" applyBorder="1" applyAlignment="1" applyProtection="1">
      <alignment vertical="center"/>
      <protection/>
    </xf>
    <xf numFmtId="4" fontId="18" fillId="34" borderId="31" xfId="0" applyNumberFormat="1" applyFont="1" applyFill="1" applyBorder="1" applyAlignment="1" applyProtection="1">
      <alignment horizontal="right" vertical="center"/>
      <protection/>
    </xf>
    <xf numFmtId="0" fontId="1" fillId="0" borderId="32" xfId="0" applyNumberFormat="1" applyFont="1" applyFill="1" applyBorder="1" applyAlignment="1" applyProtection="1">
      <alignment vertical="center"/>
      <protection/>
    </xf>
    <xf numFmtId="0" fontId="1" fillId="0" borderId="15" xfId="0" applyNumberFormat="1" applyFont="1" applyFill="1" applyBorder="1" applyAlignment="1" applyProtection="1">
      <alignment/>
      <protection/>
    </xf>
    <xf numFmtId="49" fontId="1" fillId="0" borderId="33" xfId="0" applyNumberFormat="1" applyFont="1" applyFill="1" applyBorder="1" applyAlignment="1" applyProtection="1">
      <alignment horizontal="left" vertical="center"/>
      <protection/>
    </xf>
    <xf numFmtId="49" fontId="1" fillId="0" borderId="34" xfId="0" applyNumberFormat="1" applyFont="1" applyFill="1" applyBorder="1" applyAlignment="1" applyProtection="1">
      <alignment horizontal="left" vertical="center"/>
      <protection/>
    </xf>
    <xf numFmtId="49" fontId="3" fillId="0" borderId="35" xfId="0" applyNumberFormat="1" applyFont="1" applyFill="1" applyBorder="1" applyAlignment="1" applyProtection="1">
      <alignment horizontal="center" vertical="center"/>
      <protection/>
    </xf>
    <xf numFmtId="49" fontId="3" fillId="0" borderId="36"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49" fontId="3" fillId="0" borderId="37" xfId="0" applyNumberFormat="1" applyFont="1" applyFill="1" applyBorder="1" applyAlignment="1" applyProtection="1">
      <alignment horizontal="center" vertical="center"/>
      <protection/>
    </xf>
    <xf numFmtId="49" fontId="9" fillId="35" borderId="38" xfId="0" applyNumberFormat="1" applyFont="1" applyFill="1" applyBorder="1" applyAlignment="1" applyProtection="1">
      <alignment horizontal="right" vertical="center"/>
      <protection/>
    </xf>
    <xf numFmtId="49" fontId="3" fillId="0" borderId="39"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49" fontId="4" fillId="35" borderId="40" xfId="0" applyNumberFormat="1" applyFont="1" applyFill="1" applyBorder="1" applyAlignment="1" applyProtection="1">
      <alignment horizontal="left" vertical="center"/>
      <protection/>
    </xf>
    <xf numFmtId="49" fontId="9" fillId="35" borderId="40" xfId="0" applyNumberFormat="1" applyFont="1" applyFill="1" applyBorder="1" applyAlignment="1" applyProtection="1">
      <alignment horizontal="left" vertical="center"/>
      <protection/>
    </xf>
    <xf numFmtId="4" fontId="9" fillId="35" borderId="40" xfId="0" applyNumberFormat="1" applyFont="1" applyFill="1" applyBorder="1" applyAlignment="1" applyProtection="1">
      <alignment horizontal="right" vertical="center"/>
      <protection/>
    </xf>
    <xf numFmtId="49" fontId="10" fillId="35" borderId="41" xfId="0" applyNumberFormat="1" applyFont="1" applyFill="1" applyBorder="1" applyAlignment="1" applyProtection="1">
      <alignment horizontal="right" vertical="center"/>
      <protection/>
    </xf>
    <xf numFmtId="49" fontId="5" fillId="35" borderId="42" xfId="0" applyNumberFormat="1" applyFont="1" applyFill="1" applyBorder="1" applyAlignment="1" applyProtection="1">
      <alignment horizontal="left" vertical="center"/>
      <protection/>
    </xf>
    <xf numFmtId="49" fontId="10" fillId="35" borderId="42" xfId="0" applyNumberFormat="1" applyFont="1" applyFill="1" applyBorder="1" applyAlignment="1" applyProtection="1">
      <alignment horizontal="left" vertical="center"/>
      <protection/>
    </xf>
    <xf numFmtId="49" fontId="6" fillId="36" borderId="43" xfId="0" applyNumberFormat="1" applyFont="1" applyFill="1" applyBorder="1" applyAlignment="1" applyProtection="1">
      <alignment horizontal="left" vertical="center"/>
      <protection/>
    </xf>
    <xf numFmtId="4" fontId="6" fillId="36" borderId="43" xfId="0" applyNumberFormat="1" applyFont="1" applyFill="1" applyBorder="1" applyAlignment="1" applyProtection="1">
      <alignment horizontal="right" vertical="center"/>
      <protection/>
    </xf>
    <xf numFmtId="4" fontId="10" fillId="35" borderId="42" xfId="0" applyNumberFormat="1" applyFont="1" applyFill="1" applyBorder="1" applyAlignment="1" applyProtection="1">
      <alignment horizontal="right" vertical="center"/>
      <protection/>
    </xf>
    <xf numFmtId="49" fontId="6" fillId="36" borderId="41" xfId="0" applyNumberFormat="1" applyFont="1" applyFill="1" applyBorder="1" applyAlignment="1" applyProtection="1">
      <alignment horizontal="right" vertical="center"/>
      <protection/>
    </xf>
    <xf numFmtId="49" fontId="6" fillId="36" borderId="44" xfId="0" applyNumberFormat="1" applyFont="1" applyFill="1" applyBorder="1" applyAlignment="1" applyProtection="1">
      <alignment horizontal="right" vertical="center"/>
      <protection/>
    </xf>
    <xf numFmtId="0" fontId="1" fillId="36" borderId="41" xfId="0" applyNumberFormat="1" applyFont="1" applyFill="1" applyBorder="1" applyAlignment="1" applyProtection="1">
      <alignment vertical="center"/>
      <protection/>
    </xf>
    <xf numFmtId="0" fontId="1" fillId="36" borderId="44" xfId="0" applyNumberFormat="1" applyFont="1" applyFill="1" applyBorder="1" applyAlignment="1" applyProtection="1">
      <alignment vertical="center"/>
      <protection/>
    </xf>
    <xf numFmtId="49" fontId="6" fillId="36" borderId="42" xfId="0" applyNumberFormat="1" applyFont="1" applyFill="1" applyBorder="1" applyAlignment="1" applyProtection="1">
      <alignment horizontal="left" vertical="center"/>
      <protection/>
    </xf>
    <xf numFmtId="0" fontId="1" fillId="36" borderId="43" xfId="0" applyNumberFormat="1" applyFont="1" applyFill="1" applyBorder="1" applyAlignment="1" applyProtection="1">
      <alignment vertical="center"/>
      <protection/>
    </xf>
    <xf numFmtId="0" fontId="0" fillId="36" borderId="43" xfId="1" applyNumberFormat="1" applyFill="1" applyBorder="1" applyAlignment="1" applyProtection="1">
      <alignment/>
      <protection/>
    </xf>
    <xf numFmtId="49" fontId="14" fillId="36" borderId="41" xfId="0" applyNumberFormat="1" applyFont="1" applyFill="1" applyBorder="1" applyAlignment="1" applyProtection="1">
      <alignment horizontal="left" vertical="center"/>
      <protection/>
    </xf>
    <xf numFmtId="49" fontId="14" fillId="36" borderId="44" xfId="0" applyNumberFormat="1" applyFont="1" applyFill="1" applyBorder="1" applyAlignment="1" applyProtection="1">
      <alignment horizontal="left" vertical="center"/>
      <protection/>
    </xf>
    <xf numFmtId="49" fontId="15" fillId="36" borderId="43" xfId="0" applyNumberFormat="1" applyFont="1" applyFill="1" applyBorder="1" applyAlignment="1" applyProtection="1">
      <alignment horizontal="left" vertical="center"/>
      <protection/>
    </xf>
    <xf numFmtId="4" fontId="6" fillId="36" borderId="42" xfId="0" applyNumberFormat="1" applyFont="1" applyFill="1" applyBorder="1" applyAlignment="1" applyProtection="1">
      <alignment horizontal="right" vertical="center"/>
      <protection/>
    </xf>
    <xf numFmtId="4" fontId="14" fillId="36" borderId="43" xfId="0" applyNumberFormat="1" applyFont="1" applyFill="1" applyBorder="1" applyAlignment="1" applyProtection="1">
      <alignment horizontal="right" vertical="center"/>
      <protection/>
    </xf>
    <xf numFmtId="0" fontId="1" fillId="36" borderId="42" xfId="0" applyNumberFormat="1" applyFont="1" applyFill="1" applyBorder="1" applyAlignment="1" applyProtection="1">
      <alignment vertical="center"/>
      <protection/>
    </xf>
    <xf numFmtId="0" fontId="0" fillId="36" borderId="42" xfId="1" applyNumberFormat="1" applyFill="1" applyBorder="1" applyAlignment="1" applyProtection="1">
      <alignment/>
      <protection/>
    </xf>
    <xf numFmtId="49" fontId="15" fillId="36" borderId="42" xfId="0" applyNumberFormat="1" applyFont="1" applyFill="1" applyBorder="1" applyAlignment="1" applyProtection="1">
      <alignment horizontal="left" vertical="center"/>
      <protection/>
    </xf>
    <xf numFmtId="4" fontId="14" fillId="36" borderId="42" xfId="0" applyNumberFormat="1" applyFont="1" applyFill="1" applyBorder="1" applyAlignment="1" applyProtection="1">
      <alignment horizontal="right" vertical="center"/>
      <protection/>
    </xf>
    <xf numFmtId="49" fontId="7" fillId="36" borderId="41" xfId="0" applyNumberFormat="1" applyFont="1" applyFill="1" applyBorder="1" applyAlignment="1" applyProtection="1">
      <alignment horizontal="right" vertical="center"/>
      <protection/>
    </xf>
    <xf numFmtId="49" fontId="7" fillId="36" borderId="42" xfId="0" applyNumberFormat="1" applyFont="1" applyFill="1" applyBorder="1" applyAlignment="1" applyProtection="1">
      <alignment horizontal="left" vertical="center"/>
      <protection/>
    </xf>
    <xf numFmtId="4" fontId="7" fillId="36" borderId="42" xfId="0" applyNumberFormat="1" applyFont="1" applyFill="1" applyBorder="1" applyAlignment="1" applyProtection="1">
      <alignment horizontal="right" vertical="center"/>
      <protection/>
    </xf>
    <xf numFmtId="49" fontId="9" fillId="35" borderId="41" xfId="0" applyNumberFormat="1" applyFont="1" applyFill="1" applyBorder="1" applyAlignment="1" applyProtection="1">
      <alignment horizontal="right" vertical="center"/>
      <protection/>
    </xf>
    <xf numFmtId="49" fontId="4" fillId="35" borderId="42" xfId="0" applyNumberFormat="1" applyFont="1" applyFill="1" applyBorder="1" applyAlignment="1" applyProtection="1">
      <alignment horizontal="left" vertical="center"/>
      <protection/>
    </xf>
    <xf numFmtId="49" fontId="9" fillId="35" borderId="42" xfId="0" applyNumberFormat="1" applyFont="1" applyFill="1" applyBorder="1" applyAlignment="1" applyProtection="1">
      <alignment horizontal="left" vertical="center"/>
      <protection/>
    </xf>
    <xf numFmtId="4" fontId="9" fillId="35" borderId="42" xfId="0" applyNumberFormat="1" applyFont="1" applyFill="1" applyBorder="1" applyAlignment="1" applyProtection="1">
      <alignment horizontal="right" vertical="center"/>
      <protection/>
    </xf>
    <xf numFmtId="49" fontId="2" fillId="0" borderId="15"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0" fontId="1" fillId="0" borderId="29"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45"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left" vertical="center"/>
      <protection/>
    </xf>
    <xf numFmtId="0" fontId="1" fillId="0" borderId="47"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48" xfId="0" applyNumberFormat="1" applyFont="1" applyFill="1" applyBorder="1" applyAlignment="1" applyProtection="1">
      <alignment horizontal="left" vertical="center"/>
      <protection/>
    </xf>
    <xf numFmtId="49" fontId="3" fillId="0" borderId="49"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51"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0" fontId="3" fillId="0" borderId="46"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49" fontId="9" fillId="35" borderId="38" xfId="0" applyNumberFormat="1" applyFont="1" applyFill="1" applyBorder="1" applyAlignment="1" applyProtection="1">
      <alignment horizontal="left" vertical="center"/>
      <protection/>
    </xf>
    <xf numFmtId="0" fontId="9" fillId="37" borderId="23" xfId="0" applyNumberFormat="1" applyFont="1" applyFill="1" applyBorder="1" applyAlignment="1" applyProtection="1">
      <alignment horizontal="left" vertical="center"/>
      <protection/>
    </xf>
    <xf numFmtId="0" fontId="9" fillId="37" borderId="40" xfId="0" applyNumberFormat="1" applyFont="1" applyFill="1" applyBorder="1" applyAlignment="1" applyProtection="1">
      <alignment horizontal="left" vertical="center"/>
      <protection/>
    </xf>
    <xf numFmtId="49" fontId="10" fillId="35" borderId="41" xfId="0" applyNumberFormat="1" applyFont="1" applyFill="1" applyBorder="1" applyAlignment="1" applyProtection="1">
      <alignment horizontal="left" vertical="center"/>
      <protection/>
    </xf>
    <xf numFmtId="0" fontId="10" fillId="33" borderId="0" xfId="0" applyNumberFormat="1" applyFont="1" applyFill="1" applyBorder="1" applyAlignment="1" applyProtection="1">
      <alignment horizontal="left" vertical="center"/>
      <protection/>
    </xf>
    <xf numFmtId="0" fontId="10" fillId="33" borderId="42" xfId="0" applyNumberFormat="1" applyFont="1" applyFill="1" applyBorder="1" applyAlignment="1" applyProtection="1">
      <alignment horizontal="left" vertical="center"/>
      <protection/>
    </xf>
    <xf numFmtId="49" fontId="6" fillId="36" borderId="44"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43"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left" vertical="center"/>
      <protection/>
    </xf>
    <xf numFmtId="0" fontId="13" fillId="0" borderId="18" xfId="0" applyNumberFormat="1" applyFont="1" applyFill="1" applyBorder="1" applyAlignment="1" applyProtection="1">
      <alignment horizontal="left" vertical="center"/>
      <protection/>
    </xf>
    <xf numFmtId="49" fontId="6" fillId="36" borderId="41" xfId="0" applyNumberFormat="1" applyFont="1" applyFill="1" applyBorder="1" applyAlignment="1" applyProtection="1">
      <alignment horizontal="left" vertical="center"/>
      <protection/>
    </xf>
    <xf numFmtId="0" fontId="6" fillId="0" borderId="42"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0" fontId="11" fillId="0" borderId="18"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protection/>
    </xf>
    <xf numFmtId="0" fontId="12" fillId="0" borderId="18" xfId="0" applyNumberFormat="1" applyFont="1" applyFill="1" applyBorder="1" applyAlignment="1" applyProtection="1">
      <alignment horizontal="left" vertical="top"/>
      <protection/>
    </xf>
    <xf numFmtId="49" fontId="7" fillId="36" borderId="4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7" fillId="0" borderId="42"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9" fillId="35" borderId="41" xfId="0" applyNumberFormat="1" applyFont="1" applyFill="1" applyBorder="1" applyAlignment="1" applyProtection="1">
      <alignment horizontal="left" vertical="center"/>
      <protection/>
    </xf>
    <xf numFmtId="0" fontId="9" fillId="37" borderId="0" xfId="0" applyNumberFormat="1" applyFont="1" applyFill="1" applyBorder="1" applyAlignment="1" applyProtection="1">
      <alignment horizontal="left" vertical="center"/>
      <protection/>
    </xf>
    <xf numFmtId="0" fontId="9" fillId="37" borderId="42"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horizontal="left" vertical="center" wrapText="1"/>
      <protection/>
    </xf>
    <xf numFmtId="0" fontId="1" fillId="0" borderId="18"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protection/>
    </xf>
    <xf numFmtId="49" fontId="1" fillId="0" borderId="2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49" fontId="1" fillId="0" borderId="29"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0" fontId="1" fillId="0" borderId="52" xfId="0" applyNumberFormat="1" applyFont="1" applyFill="1" applyBorder="1" applyAlignment="1" applyProtection="1">
      <alignment horizontal="left" vertical="center"/>
      <protection/>
    </xf>
    <xf numFmtId="49" fontId="16" fillId="0" borderId="53" xfId="0" applyNumberFormat="1" applyFont="1" applyFill="1" applyBorder="1" applyAlignment="1" applyProtection="1">
      <alignment horizontal="center" vertical="center"/>
      <protection/>
    </xf>
    <xf numFmtId="0" fontId="16" fillId="0" borderId="53" xfId="0" applyNumberFormat="1" applyFont="1" applyFill="1" applyBorder="1" applyAlignment="1" applyProtection="1">
      <alignment horizontal="center" vertical="center"/>
      <protection/>
    </xf>
    <xf numFmtId="49" fontId="20" fillId="0" borderId="30" xfId="0" applyNumberFormat="1" applyFont="1" applyFill="1" applyBorder="1" applyAlignment="1" applyProtection="1">
      <alignment horizontal="left" vertical="center"/>
      <protection/>
    </xf>
    <xf numFmtId="0" fontId="20" fillId="0" borderId="31" xfId="0" applyNumberFormat="1" applyFont="1" applyFill="1" applyBorder="1" applyAlignment="1" applyProtection="1">
      <alignment horizontal="left" vertical="center"/>
      <protection/>
    </xf>
    <xf numFmtId="49" fontId="19" fillId="0" borderId="30" xfId="0" applyNumberFormat="1" applyFont="1" applyFill="1" applyBorder="1" applyAlignment="1" applyProtection="1">
      <alignment horizontal="left" vertical="center"/>
      <protection/>
    </xf>
    <xf numFmtId="0" fontId="19" fillId="0" borderId="31" xfId="0" applyNumberFormat="1" applyFont="1" applyFill="1" applyBorder="1" applyAlignment="1" applyProtection="1">
      <alignment horizontal="left" vertical="center"/>
      <protection/>
    </xf>
    <xf numFmtId="49" fontId="18" fillId="0" borderId="30" xfId="0" applyNumberFormat="1" applyFont="1" applyFill="1" applyBorder="1" applyAlignment="1" applyProtection="1">
      <alignment horizontal="left" vertical="center"/>
      <protection/>
    </xf>
    <xf numFmtId="0" fontId="18" fillId="0" borderId="31" xfId="0" applyNumberFormat="1" applyFont="1" applyFill="1" applyBorder="1" applyAlignment="1" applyProtection="1">
      <alignment horizontal="left" vertical="center"/>
      <protection/>
    </xf>
    <xf numFmtId="49" fontId="18" fillId="34" borderId="30" xfId="0" applyNumberFormat="1" applyFont="1" applyFill="1" applyBorder="1" applyAlignment="1" applyProtection="1">
      <alignment horizontal="left" vertical="center"/>
      <protection/>
    </xf>
    <xf numFmtId="0" fontId="18" fillId="34" borderId="53" xfId="0" applyNumberFormat="1" applyFont="1" applyFill="1" applyBorder="1" applyAlignment="1" applyProtection="1">
      <alignment horizontal="left" vertical="center"/>
      <protection/>
    </xf>
    <xf numFmtId="49" fontId="19" fillId="0" borderId="5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9" fillId="0" borderId="55" xfId="0" applyNumberFormat="1" applyFont="1" applyFill="1" applyBorder="1" applyAlignment="1" applyProtection="1">
      <alignment horizontal="left" vertical="center"/>
      <protection/>
    </xf>
    <xf numFmtId="49" fontId="19" fillId="0" borderId="19"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56" xfId="0" applyNumberFormat="1" applyFont="1" applyFill="1" applyBorder="1" applyAlignment="1" applyProtection="1">
      <alignment horizontal="left" vertical="center"/>
      <protection/>
    </xf>
    <xf numFmtId="49" fontId="19" fillId="0" borderId="57" xfId="0" applyNumberFormat="1" applyFont="1" applyFill="1" applyBorder="1" applyAlignment="1" applyProtection="1">
      <alignment horizontal="left" vertical="center"/>
      <protection/>
    </xf>
    <xf numFmtId="0" fontId="19" fillId="0" borderId="46" xfId="0" applyNumberFormat="1" applyFont="1" applyFill="1" applyBorder="1" applyAlignment="1" applyProtection="1">
      <alignment horizontal="left" vertical="center"/>
      <protection/>
    </xf>
    <xf numFmtId="0" fontId="19" fillId="0" borderId="58" xfId="0" applyNumberFormat="1" applyFont="1" applyFill="1" applyBorder="1" applyAlignment="1" applyProtection="1">
      <alignment horizontal="left" vertical="center"/>
      <protection/>
    </xf>
  </cellXfs>
  <cellStyles count="4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80C0"/>
      <rgbColor rgb="00008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twoCellAnchor editAs="oneCell">
    <xdr:from>
      <xdr:col>1</xdr:col>
      <xdr:colOff>819150</xdr:colOff>
      <xdr:row>30</xdr:row>
      <xdr:rowOff>9525</xdr:rowOff>
    </xdr:from>
    <xdr:to>
      <xdr:col>2</xdr:col>
      <xdr:colOff>1504950</xdr:colOff>
      <xdr:row>34</xdr:row>
      <xdr:rowOff>0</xdr:rowOff>
    </xdr:to>
    <xdr:pic>
      <xdr:nvPicPr>
        <xdr:cNvPr id="2" name="Obrázek 2"/>
        <xdr:cNvPicPr preferRelativeResize="1">
          <a:picLocks noChangeAspect="1"/>
        </xdr:cNvPicPr>
      </xdr:nvPicPr>
      <xdr:blipFill>
        <a:blip r:embed="rId2"/>
        <a:stretch>
          <a:fillRect/>
        </a:stretch>
      </xdr:blipFill>
      <xdr:spPr>
        <a:xfrm>
          <a:off x="1428750" y="6381750"/>
          <a:ext cx="15430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447675</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239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33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F43" sqref="F43"/>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11"/>
      <c r="C1" s="160" t="s">
        <v>1657</v>
      </c>
      <c r="D1" s="101"/>
      <c r="E1" s="101"/>
      <c r="F1" s="101"/>
      <c r="G1" s="101"/>
      <c r="H1" s="101"/>
      <c r="I1" s="101"/>
    </row>
    <row r="2" spans="1:10" ht="12.75">
      <c r="A2" s="102" t="s">
        <v>1</v>
      </c>
      <c r="B2" s="103"/>
      <c r="C2" s="106" t="str">
        <f>'Stavební rozpočet'!D2</f>
        <v>Revitalizace BD Nádražní 7, 9 v Mikulově</v>
      </c>
      <c r="D2" s="161"/>
      <c r="E2" s="109" t="s">
        <v>1328</v>
      </c>
      <c r="F2" s="109" t="str">
        <f>'Stavební rozpočet'!H2</f>
        <v> </v>
      </c>
      <c r="G2" s="103"/>
      <c r="H2" s="109" t="s">
        <v>1682</v>
      </c>
      <c r="I2" s="162"/>
      <c r="J2" s="3"/>
    </row>
    <row r="3" spans="1:10" ht="12.75">
      <c r="A3" s="104"/>
      <c r="B3" s="105"/>
      <c r="C3" s="107"/>
      <c r="D3" s="107"/>
      <c r="E3" s="105"/>
      <c r="F3" s="105"/>
      <c r="G3" s="105"/>
      <c r="H3" s="105"/>
      <c r="I3" s="111"/>
      <c r="J3" s="3"/>
    </row>
    <row r="4" spans="1:10" ht="12.75">
      <c r="A4" s="112" t="s">
        <v>2</v>
      </c>
      <c r="B4" s="105"/>
      <c r="C4" s="113" t="str">
        <f>'Stavební rozpočet'!D4</f>
        <v>bytový dům</v>
      </c>
      <c r="D4" s="105"/>
      <c r="E4" s="113" t="s">
        <v>1329</v>
      </c>
      <c r="F4" s="113" t="str">
        <f>'Stavební rozpočet'!H4</f>
        <v>Tomáš Sýkora</v>
      </c>
      <c r="G4" s="105"/>
      <c r="H4" s="113" t="s">
        <v>1682</v>
      </c>
      <c r="I4" s="163" t="s">
        <v>1686</v>
      </c>
      <c r="J4" s="3"/>
    </row>
    <row r="5" spans="1:10" ht="12.75">
      <c r="A5" s="104"/>
      <c r="B5" s="105"/>
      <c r="C5" s="105"/>
      <c r="D5" s="105"/>
      <c r="E5" s="105"/>
      <c r="F5" s="105"/>
      <c r="G5" s="105"/>
      <c r="H5" s="105"/>
      <c r="I5" s="111"/>
      <c r="J5" s="3"/>
    </row>
    <row r="6" spans="1:10" ht="12.75">
      <c r="A6" s="112" t="s">
        <v>3</v>
      </c>
      <c r="B6" s="105"/>
      <c r="C6" s="113" t="str">
        <f>'Stavební rozpočet'!D6</f>
        <v>Parcela č. 1948/1, 1949, k.ú.  Mikulov na Moravě [694193]</v>
      </c>
      <c r="D6" s="105"/>
      <c r="E6" s="113" t="s">
        <v>1330</v>
      </c>
      <c r="F6" s="113" t="str">
        <f>'Stavební rozpočet'!H6</f>
        <v> </v>
      </c>
      <c r="G6" s="105"/>
      <c r="H6" s="113" t="s">
        <v>1682</v>
      </c>
      <c r="I6" s="163"/>
      <c r="J6" s="3"/>
    </row>
    <row r="7" spans="1:10" ht="12.75">
      <c r="A7" s="104"/>
      <c r="B7" s="105"/>
      <c r="C7" s="105"/>
      <c r="D7" s="105"/>
      <c r="E7" s="105"/>
      <c r="F7" s="105"/>
      <c r="G7" s="105"/>
      <c r="H7" s="105"/>
      <c r="I7" s="111"/>
      <c r="J7" s="3"/>
    </row>
    <row r="8" spans="1:10" ht="12.75">
      <c r="A8" s="112" t="s">
        <v>1324</v>
      </c>
      <c r="B8" s="105"/>
      <c r="C8" s="113" t="str">
        <f>'Stavební rozpočet'!F4</f>
        <v> </v>
      </c>
      <c r="D8" s="105"/>
      <c r="E8" s="113" t="s">
        <v>1325</v>
      </c>
      <c r="F8" s="113" t="str">
        <f>'Stavební rozpočet'!F6</f>
        <v> </v>
      </c>
      <c r="G8" s="105"/>
      <c r="H8" s="114" t="s">
        <v>1683</v>
      </c>
      <c r="I8" s="163" t="s">
        <v>280</v>
      </c>
      <c r="J8" s="3"/>
    </row>
    <row r="9" spans="1:10" ht="12.75">
      <c r="A9" s="104"/>
      <c r="B9" s="105"/>
      <c r="C9" s="105"/>
      <c r="D9" s="105"/>
      <c r="E9" s="105"/>
      <c r="F9" s="105"/>
      <c r="G9" s="105"/>
      <c r="H9" s="105"/>
      <c r="I9" s="111"/>
      <c r="J9" s="3"/>
    </row>
    <row r="10" spans="1:10" ht="12.75">
      <c r="A10" s="112" t="s">
        <v>4</v>
      </c>
      <c r="B10" s="105"/>
      <c r="C10" s="113">
        <f>'Stavební rozpočet'!D8</f>
        <v>8035213</v>
      </c>
      <c r="D10" s="105"/>
      <c r="E10" s="113" t="s">
        <v>1331</v>
      </c>
      <c r="F10" s="113" t="str">
        <f>'Stavební rozpočet'!H8</f>
        <v> </v>
      </c>
      <c r="G10" s="105"/>
      <c r="H10" s="114" t="s">
        <v>1684</v>
      </c>
      <c r="I10" s="157" t="str">
        <f>'Stavební rozpočet'!F8</f>
        <v>21.10.2020</v>
      </c>
      <c r="J10" s="3"/>
    </row>
    <row r="11" spans="1:10" ht="12.75">
      <c r="A11" s="164"/>
      <c r="B11" s="158"/>
      <c r="C11" s="158"/>
      <c r="D11" s="158"/>
      <c r="E11" s="158"/>
      <c r="F11" s="158"/>
      <c r="G11" s="158"/>
      <c r="H11" s="158"/>
      <c r="I11" s="165"/>
      <c r="J11" s="3"/>
    </row>
    <row r="12" spans="1:9" ht="23.25" customHeight="1">
      <c r="A12" s="166" t="s">
        <v>1643</v>
      </c>
      <c r="B12" s="167"/>
      <c r="C12" s="167"/>
      <c r="D12" s="167"/>
      <c r="E12" s="167"/>
      <c r="F12" s="167"/>
      <c r="G12" s="167"/>
      <c r="H12" s="167"/>
      <c r="I12" s="167"/>
    </row>
    <row r="13" spans="1:10" ht="26.25" customHeight="1">
      <c r="A13" s="45" t="s">
        <v>1644</v>
      </c>
      <c r="B13" s="168" t="s">
        <v>1655</v>
      </c>
      <c r="C13" s="169"/>
      <c r="D13" s="45" t="s">
        <v>1658</v>
      </c>
      <c r="E13" s="168" t="s">
        <v>1667</v>
      </c>
      <c r="F13" s="169"/>
      <c r="G13" s="45" t="s">
        <v>1668</v>
      </c>
      <c r="H13" s="168" t="s">
        <v>1685</v>
      </c>
      <c r="I13" s="169"/>
      <c r="J13" s="3"/>
    </row>
    <row r="14" spans="1:10" ht="15" customHeight="1">
      <c r="A14" s="46" t="s">
        <v>1645</v>
      </c>
      <c r="B14" s="50" t="s">
        <v>1656</v>
      </c>
      <c r="C14" s="53">
        <f>SUM('Stavební rozpočet'!AB12:AB1161)</f>
        <v>0</v>
      </c>
      <c r="D14" s="170" t="s">
        <v>1659</v>
      </c>
      <c r="E14" s="171"/>
      <c r="F14" s="53">
        <v>0</v>
      </c>
      <c r="G14" s="170" t="s">
        <v>1669</v>
      </c>
      <c r="H14" s="171"/>
      <c r="I14" s="54" t="s">
        <v>1567</v>
      </c>
      <c r="J14" s="3"/>
    </row>
    <row r="15" spans="1:10" ht="15" customHeight="1">
      <c r="A15" s="47"/>
      <c r="B15" s="50" t="s">
        <v>1550</v>
      </c>
      <c r="C15" s="53">
        <f>SUM('Stavební rozpočet'!AC12:AC1161)</f>
        <v>0</v>
      </c>
      <c r="D15" s="170" t="s">
        <v>1660</v>
      </c>
      <c r="E15" s="171"/>
      <c r="F15" s="53">
        <v>0</v>
      </c>
      <c r="G15" s="170" t="s">
        <v>1670</v>
      </c>
      <c r="H15" s="171"/>
      <c r="I15" s="54" t="s">
        <v>1567</v>
      </c>
      <c r="J15" s="3"/>
    </row>
    <row r="16" spans="1:10" ht="15" customHeight="1">
      <c r="A16" s="46" t="s">
        <v>1646</v>
      </c>
      <c r="B16" s="50" t="s">
        <v>1656</v>
      </c>
      <c r="C16" s="53">
        <f>SUM('Stavební rozpočet'!AD12:AD1161)</f>
        <v>0</v>
      </c>
      <c r="D16" s="170" t="s">
        <v>1661</v>
      </c>
      <c r="E16" s="171"/>
      <c r="F16" s="53">
        <v>0</v>
      </c>
      <c r="G16" s="170" t="s">
        <v>1671</v>
      </c>
      <c r="H16" s="171"/>
      <c r="I16" s="54" t="s">
        <v>1567</v>
      </c>
      <c r="J16" s="3"/>
    </row>
    <row r="17" spans="1:10" ht="15" customHeight="1">
      <c r="A17" s="47"/>
      <c r="B17" s="50" t="s">
        <v>1550</v>
      </c>
      <c r="C17" s="53">
        <f>SUM('Stavební rozpočet'!AE12:AE1161)</f>
        <v>0</v>
      </c>
      <c r="D17" s="170"/>
      <c r="E17" s="171"/>
      <c r="F17" s="54"/>
      <c r="G17" s="170" t="s">
        <v>1672</v>
      </c>
      <c r="H17" s="171"/>
      <c r="I17" s="54" t="s">
        <v>1567</v>
      </c>
      <c r="J17" s="3"/>
    </row>
    <row r="18" spans="1:10" ht="15" customHeight="1">
      <c r="A18" s="46" t="s">
        <v>1647</v>
      </c>
      <c r="B18" s="50" t="s">
        <v>1656</v>
      </c>
      <c r="C18" s="53">
        <f>SUM('Stavební rozpočet'!AF12:AF1161)</f>
        <v>0</v>
      </c>
      <c r="D18" s="170"/>
      <c r="E18" s="171"/>
      <c r="F18" s="54"/>
      <c r="G18" s="170" t="s">
        <v>1673</v>
      </c>
      <c r="H18" s="171"/>
      <c r="I18" s="54" t="s">
        <v>1567</v>
      </c>
      <c r="J18" s="3"/>
    </row>
    <row r="19" spans="1:10" ht="15" customHeight="1">
      <c r="A19" s="47"/>
      <c r="B19" s="50" t="s">
        <v>1550</v>
      </c>
      <c r="C19" s="53">
        <f>SUM('Stavební rozpočet'!AG12:AG1161)</f>
        <v>0</v>
      </c>
      <c r="D19" s="170"/>
      <c r="E19" s="171"/>
      <c r="F19" s="54"/>
      <c r="G19" s="170" t="s">
        <v>1674</v>
      </c>
      <c r="H19" s="171"/>
      <c r="I19" s="54" t="s">
        <v>1567</v>
      </c>
      <c r="J19" s="3"/>
    </row>
    <row r="20" spans="1:10" ht="15" customHeight="1">
      <c r="A20" s="172" t="s">
        <v>1312</v>
      </c>
      <c r="B20" s="173"/>
      <c r="C20" s="53">
        <f>SUM('Stavební rozpočet'!AH12:AH1161)</f>
        <v>0</v>
      </c>
      <c r="D20" s="170"/>
      <c r="E20" s="171"/>
      <c r="F20" s="54"/>
      <c r="G20" s="170"/>
      <c r="H20" s="171"/>
      <c r="I20" s="54"/>
      <c r="J20" s="3"/>
    </row>
    <row r="21" spans="1:10" ht="15" customHeight="1">
      <c r="A21" s="172" t="s">
        <v>1648</v>
      </c>
      <c r="B21" s="173"/>
      <c r="C21" s="53">
        <f>SUM('Stavební rozpočet'!Z12:Z1161)</f>
        <v>0</v>
      </c>
      <c r="D21" s="170"/>
      <c r="E21" s="171"/>
      <c r="F21" s="54"/>
      <c r="G21" s="170"/>
      <c r="H21" s="171"/>
      <c r="I21" s="54"/>
      <c r="J21" s="3"/>
    </row>
    <row r="22" spans="1:10" ht="16.5" customHeight="1">
      <c r="A22" s="172" t="s">
        <v>1649</v>
      </c>
      <c r="B22" s="173"/>
      <c r="C22" s="53">
        <f>SUM(C14:C21)</f>
        <v>0</v>
      </c>
      <c r="D22" s="172" t="s">
        <v>1662</v>
      </c>
      <c r="E22" s="173"/>
      <c r="F22" s="53">
        <f>SUM(F14:F21)</f>
        <v>0</v>
      </c>
      <c r="G22" s="172" t="s">
        <v>1675</v>
      </c>
      <c r="H22" s="173"/>
      <c r="I22" s="53">
        <f>SUM(I14:I21)</f>
        <v>0</v>
      </c>
      <c r="J22" s="3"/>
    </row>
    <row r="23" spans="1:10" ht="15" customHeight="1">
      <c r="A23" s="6"/>
      <c r="B23" s="6"/>
      <c r="C23" s="52"/>
      <c r="D23" s="172" t="s">
        <v>1663</v>
      </c>
      <c r="E23" s="173"/>
      <c r="F23" s="53">
        <f>'Krycí list rozpočtu (SO-01)'!F22+'Krycí list rozpočtu (SO-02)'!F22+'Krycí list rozpočtu (SO-03)'!F22</f>
        <v>0</v>
      </c>
      <c r="G23" s="172" t="s">
        <v>1676</v>
      </c>
      <c r="H23" s="173"/>
      <c r="I23" s="53">
        <f>'Krycí list rozpočtu (SO-01)'!I22+'Krycí list rozpočtu (SO-02)'!I22+'Krycí list rozpočtu (SO-03)'!I22</f>
        <v>0</v>
      </c>
      <c r="J23" s="3"/>
    </row>
    <row r="24" spans="4:9" ht="15" customHeight="1">
      <c r="D24" s="6"/>
      <c r="E24" s="6"/>
      <c r="F24" s="52"/>
      <c r="G24" s="172" t="s">
        <v>1677</v>
      </c>
      <c r="H24" s="173"/>
      <c r="I24" s="55"/>
    </row>
    <row r="25" spans="6:10" ht="15" customHeight="1">
      <c r="F25" s="24"/>
      <c r="G25" s="172" t="s">
        <v>1678</v>
      </c>
      <c r="H25" s="173"/>
      <c r="I25" s="53">
        <f>'Krycí list rozpočtu (SO-01)'!I23+'Krycí list rozpočtu (SO-02)'!I23+'Krycí list rozpočtu (SO-03)'!I23</f>
        <v>0</v>
      </c>
      <c r="J25" s="3"/>
    </row>
    <row r="26" spans="1:9" ht="12.75">
      <c r="A26" s="11"/>
      <c r="B26" s="11"/>
      <c r="C26" s="11"/>
      <c r="G26" s="6"/>
      <c r="H26" s="6"/>
      <c r="I26" s="6"/>
    </row>
    <row r="27" spans="1:9" ht="15" customHeight="1">
      <c r="A27" s="174" t="s">
        <v>1650</v>
      </c>
      <c r="B27" s="175"/>
      <c r="C27" s="56">
        <f>SUM('Stavební rozpočet'!AJ12:AJ1161)</f>
        <v>0</v>
      </c>
      <c r="D27" s="5"/>
      <c r="E27" s="11"/>
      <c r="F27" s="11"/>
      <c r="G27" s="11"/>
      <c r="H27" s="11"/>
      <c r="I27" s="11"/>
    </row>
    <row r="28" spans="1:10" ht="15" customHeight="1">
      <c r="A28" s="174" t="s">
        <v>1651</v>
      </c>
      <c r="B28" s="175"/>
      <c r="C28" s="56">
        <f>SUM('Stavební rozpočet'!AK12:AK1161)+(F22+I22+F23+I23+I24+I25)</f>
        <v>0</v>
      </c>
      <c r="D28" s="174" t="s">
        <v>1664</v>
      </c>
      <c r="E28" s="175"/>
      <c r="F28" s="56">
        <f>ROUND(C28*(15/100),2)</f>
        <v>0</v>
      </c>
      <c r="G28" s="174" t="s">
        <v>1679</v>
      </c>
      <c r="H28" s="175"/>
      <c r="I28" s="56">
        <f>SUM(C27:C29)</f>
        <v>0</v>
      </c>
      <c r="J28" s="3"/>
    </row>
    <row r="29" spans="1:10" ht="15" customHeight="1">
      <c r="A29" s="174" t="s">
        <v>1652</v>
      </c>
      <c r="B29" s="175"/>
      <c r="C29" s="56">
        <f>SUM('Stavební rozpočet'!AL12:AL1161)</f>
        <v>0</v>
      </c>
      <c r="D29" s="174" t="s">
        <v>1665</v>
      </c>
      <c r="E29" s="175"/>
      <c r="F29" s="56">
        <f>ROUND(C29*(21/100),2)</f>
        <v>0</v>
      </c>
      <c r="G29" s="174" t="s">
        <v>1680</v>
      </c>
      <c r="H29" s="175"/>
      <c r="I29" s="56">
        <f>SUM(F28:F29)+I28</f>
        <v>0</v>
      </c>
      <c r="J29" s="3"/>
    </row>
    <row r="30" spans="1:9" ht="12.75">
      <c r="A30" s="48"/>
      <c r="B30" s="48"/>
      <c r="C30" s="48"/>
      <c r="D30" s="48"/>
      <c r="E30" s="48"/>
      <c r="F30" s="48"/>
      <c r="G30" s="48"/>
      <c r="H30" s="48"/>
      <c r="I30" s="48"/>
    </row>
    <row r="31" spans="1:10" ht="14.25" customHeight="1">
      <c r="A31" s="176" t="s">
        <v>1653</v>
      </c>
      <c r="B31" s="177"/>
      <c r="C31" s="178"/>
      <c r="D31" s="176" t="s">
        <v>1666</v>
      </c>
      <c r="E31" s="177"/>
      <c r="F31" s="178"/>
      <c r="G31" s="176" t="s">
        <v>1681</v>
      </c>
      <c r="H31" s="177"/>
      <c r="I31" s="178"/>
      <c r="J31" s="26"/>
    </row>
    <row r="32" spans="1:10" ht="14.25" customHeight="1">
      <c r="A32" s="179"/>
      <c r="B32" s="180"/>
      <c r="C32" s="181"/>
      <c r="D32" s="179"/>
      <c r="E32" s="180"/>
      <c r="F32" s="181"/>
      <c r="G32" s="179"/>
      <c r="H32" s="180"/>
      <c r="I32" s="181"/>
      <c r="J32" s="26"/>
    </row>
    <row r="33" spans="1:10" ht="14.25" customHeight="1">
      <c r="A33" s="179"/>
      <c r="B33" s="180"/>
      <c r="C33" s="181"/>
      <c r="D33" s="179"/>
      <c r="E33" s="180"/>
      <c r="F33" s="181"/>
      <c r="G33" s="179"/>
      <c r="H33" s="180"/>
      <c r="I33" s="181"/>
      <c r="J33" s="26"/>
    </row>
    <row r="34" spans="1:10" ht="14.25" customHeight="1">
      <c r="A34" s="179"/>
      <c r="B34" s="180"/>
      <c r="C34" s="181"/>
      <c r="D34" s="179"/>
      <c r="E34" s="180"/>
      <c r="F34" s="181"/>
      <c r="G34" s="179"/>
      <c r="H34" s="180"/>
      <c r="I34" s="181"/>
      <c r="J34" s="26"/>
    </row>
    <row r="35" spans="1:10" ht="14.25" customHeight="1">
      <c r="A35" s="182" t="s">
        <v>1654</v>
      </c>
      <c r="B35" s="183"/>
      <c r="C35" s="184"/>
      <c r="D35" s="182" t="s">
        <v>1654</v>
      </c>
      <c r="E35" s="183"/>
      <c r="F35" s="184"/>
      <c r="G35" s="182" t="s">
        <v>1654</v>
      </c>
      <c r="H35" s="183"/>
      <c r="I35" s="184"/>
      <c r="J35" s="26"/>
    </row>
    <row r="36" spans="1:9" ht="11.25" customHeight="1">
      <c r="A36" s="49" t="s">
        <v>281</v>
      </c>
      <c r="B36" s="51"/>
      <c r="C36" s="51"/>
      <c r="D36" s="51"/>
      <c r="E36" s="51"/>
      <c r="F36" s="51"/>
      <c r="G36" s="51"/>
      <c r="H36" s="51"/>
      <c r="I36" s="51"/>
    </row>
    <row r="37" spans="1:9" ht="12.75">
      <c r="A37" s="113"/>
      <c r="B37" s="105"/>
      <c r="C37" s="105"/>
      <c r="D37" s="105"/>
      <c r="E37" s="105"/>
      <c r="F37" s="105"/>
      <c r="G37" s="105"/>
      <c r="H37" s="105"/>
      <c r="I37" s="105"/>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pane ySplit="10" topLeftCell="A11" activePane="bottomLeft" state="frozen"/>
      <selection pane="topLeft" activeCell="A1" sqref="A1"/>
      <selection pane="bottomLeft" activeCell="A1" sqref="A1:G1"/>
    </sheetView>
  </sheetViews>
  <sheetFormatPr defaultColWidth="11.57421875" defaultRowHeight="12.75"/>
  <cols>
    <col min="1" max="2" width="7.140625" style="0" customWidth="1"/>
    <col min="3" max="3" width="57.140625" style="0" customWidth="1"/>
    <col min="4" max="4" width="11.57421875" style="0" customWidth="1"/>
    <col min="5" max="5" width="22.140625" style="0" customWidth="1"/>
    <col min="6" max="6" width="21.00390625" style="0" customWidth="1"/>
    <col min="7" max="7" width="20.8515625" style="0" customWidth="1"/>
    <col min="8" max="9" width="0" style="0" hidden="1" customWidth="1"/>
  </cols>
  <sheetData>
    <row r="1" spans="1:7" ht="72.75" customHeight="1">
      <c r="A1" s="100" t="s">
        <v>1637</v>
      </c>
      <c r="B1" s="101"/>
      <c r="C1" s="101"/>
      <c r="D1" s="101"/>
      <c r="E1" s="101"/>
      <c r="F1" s="101"/>
      <c r="G1" s="101"/>
    </row>
    <row r="2" spans="1:8" ht="12.75">
      <c r="A2" s="102" t="s">
        <v>1</v>
      </c>
      <c r="B2" s="103"/>
      <c r="C2" s="106" t="str">
        <f>'Stavební rozpočet'!D2</f>
        <v>Revitalizace BD Nádražní 7, 9 v Mikulově</v>
      </c>
      <c r="D2" s="108" t="s">
        <v>1323</v>
      </c>
      <c r="E2" s="108" t="s">
        <v>6</v>
      </c>
      <c r="F2" s="109" t="s">
        <v>1328</v>
      </c>
      <c r="G2" s="156" t="str">
        <f>'Stavební rozpočet'!H2</f>
        <v> </v>
      </c>
      <c r="H2" s="3"/>
    </row>
    <row r="3" spans="1:8" ht="12.75">
      <c r="A3" s="104"/>
      <c r="B3" s="105"/>
      <c r="C3" s="107"/>
      <c r="D3" s="105"/>
      <c r="E3" s="105"/>
      <c r="F3" s="105"/>
      <c r="G3" s="111"/>
      <c r="H3" s="3"/>
    </row>
    <row r="4" spans="1:8" ht="12.75">
      <c r="A4" s="112" t="s">
        <v>2</v>
      </c>
      <c r="B4" s="105"/>
      <c r="C4" s="113" t="str">
        <f>'Stavební rozpočet'!D4</f>
        <v>bytový dům</v>
      </c>
      <c r="D4" s="114" t="s">
        <v>1324</v>
      </c>
      <c r="E4" s="114" t="s">
        <v>6</v>
      </c>
      <c r="F4" s="113" t="s">
        <v>1329</v>
      </c>
      <c r="G4" s="157" t="str">
        <f>'Stavební rozpočet'!H4</f>
        <v>Tomáš Sýkora</v>
      </c>
      <c r="H4" s="3"/>
    </row>
    <row r="5" spans="1:8" ht="12.75">
      <c r="A5" s="104"/>
      <c r="B5" s="105"/>
      <c r="C5" s="105"/>
      <c r="D5" s="105"/>
      <c r="E5" s="105"/>
      <c r="F5" s="105"/>
      <c r="G5" s="111"/>
      <c r="H5" s="3"/>
    </row>
    <row r="6" spans="1:8" ht="12.75">
      <c r="A6" s="112" t="s">
        <v>3</v>
      </c>
      <c r="B6" s="105"/>
      <c r="C6" s="113" t="str">
        <f>'Stavební rozpočet'!D6</f>
        <v>Parcela č. 1948/1, 1949, k.ú.  Mikulov na Moravě [694193]</v>
      </c>
      <c r="D6" s="114" t="s">
        <v>1325</v>
      </c>
      <c r="E6" s="114" t="s">
        <v>6</v>
      </c>
      <c r="F6" s="113" t="s">
        <v>1330</v>
      </c>
      <c r="G6" s="157" t="str">
        <f>'Stavební rozpočet'!H6</f>
        <v> </v>
      </c>
      <c r="H6" s="3"/>
    </row>
    <row r="7" spans="1:8" ht="12.75">
      <c r="A7" s="104"/>
      <c r="B7" s="105"/>
      <c r="C7" s="105"/>
      <c r="D7" s="105"/>
      <c r="E7" s="105"/>
      <c r="F7" s="105"/>
      <c r="G7" s="111"/>
      <c r="H7" s="3"/>
    </row>
    <row r="8" spans="1:8" ht="12.75">
      <c r="A8" s="112" t="s">
        <v>1331</v>
      </c>
      <c r="B8" s="105"/>
      <c r="C8" s="113" t="str">
        <f>'Stavební rozpočet'!H8</f>
        <v> </v>
      </c>
      <c r="D8" s="114" t="s">
        <v>1326</v>
      </c>
      <c r="E8" s="114" t="s">
        <v>1327</v>
      </c>
      <c r="F8" s="114" t="s">
        <v>1326</v>
      </c>
      <c r="G8" s="157" t="str">
        <f>'Stavební rozpočet'!F8</f>
        <v>21.10.2020</v>
      </c>
      <c r="H8" s="3"/>
    </row>
    <row r="9" spans="1:8" ht="12.75">
      <c r="A9" s="115"/>
      <c r="B9" s="116"/>
      <c r="C9" s="116"/>
      <c r="D9" s="158"/>
      <c r="E9" s="116"/>
      <c r="F9" s="116"/>
      <c r="G9" s="117"/>
      <c r="H9" s="3"/>
    </row>
    <row r="10" spans="1:8" ht="12.75">
      <c r="A10" s="34" t="s">
        <v>282</v>
      </c>
      <c r="B10" s="37" t="s">
        <v>285</v>
      </c>
      <c r="C10" s="39" t="s">
        <v>586</v>
      </c>
      <c r="D10" s="40"/>
      <c r="E10" s="41" t="s">
        <v>1638</v>
      </c>
      <c r="F10" s="41" t="s">
        <v>1639</v>
      </c>
      <c r="G10" s="41" t="s">
        <v>1640</v>
      </c>
      <c r="H10" s="3"/>
    </row>
    <row r="11" spans="1:9" ht="12.75">
      <c r="A11" s="35" t="s">
        <v>283</v>
      </c>
      <c r="B11" s="38"/>
      <c r="C11" s="159" t="s">
        <v>588</v>
      </c>
      <c r="D11" s="105"/>
      <c r="E11" s="43">
        <f>'Stavební rozpočet'!K12</f>
        <v>0</v>
      </c>
      <c r="F11" s="43">
        <f>'Stavební rozpočet'!L12</f>
        <v>0</v>
      </c>
      <c r="G11" s="43">
        <f>'Stavební rozpočet'!M12</f>
        <v>0</v>
      </c>
      <c r="H11" s="28" t="s">
        <v>1641</v>
      </c>
      <c r="I11" s="28">
        <f aca="true" t="shared" si="0" ref="I11:I58">IF(H11="F",0,G11)</f>
        <v>0</v>
      </c>
    </row>
    <row r="12" spans="1:9" ht="12.75">
      <c r="A12" s="36" t="s">
        <v>283</v>
      </c>
      <c r="B12" s="15" t="s">
        <v>286</v>
      </c>
      <c r="C12" s="114" t="s">
        <v>589</v>
      </c>
      <c r="D12" s="105"/>
      <c r="E12" s="28">
        <f>'Stavební rozpočet'!K13</f>
        <v>0</v>
      </c>
      <c r="F12" s="28">
        <f>'Stavební rozpočet'!L13</f>
        <v>0</v>
      </c>
      <c r="G12" s="28">
        <f>'Stavební rozpočet'!M13</f>
        <v>0</v>
      </c>
      <c r="H12" s="28" t="s">
        <v>1642</v>
      </c>
      <c r="I12" s="28">
        <f t="shared" si="0"/>
        <v>0</v>
      </c>
    </row>
    <row r="13" spans="1:9" ht="12.75">
      <c r="A13" s="36" t="s">
        <v>283</v>
      </c>
      <c r="B13" s="15" t="s">
        <v>288</v>
      </c>
      <c r="C13" s="114" t="s">
        <v>592</v>
      </c>
      <c r="D13" s="105"/>
      <c r="E13" s="28">
        <f>'Stavební rozpočet'!K16</f>
        <v>0</v>
      </c>
      <c r="F13" s="28">
        <f>'Stavební rozpočet'!L16</f>
        <v>0</v>
      </c>
      <c r="G13" s="28">
        <f>'Stavební rozpočet'!M16</f>
        <v>0</v>
      </c>
      <c r="H13" s="28" t="s">
        <v>1642</v>
      </c>
      <c r="I13" s="28">
        <f t="shared" si="0"/>
        <v>0</v>
      </c>
    </row>
    <row r="14" spans="1:9" ht="12.75">
      <c r="A14" s="36" t="s">
        <v>283</v>
      </c>
      <c r="B14" s="15" t="s">
        <v>17</v>
      </c>
      <c r="C14" s="114" t="s">
        <v>599</v>
      </c>
      <c r="D14" s="105"/>
      <c r="E14" s="28">
        <f>'Stavební rozpočet'!K25</f>
        <v>0</v>
      </c>
      <c r="F14" s="28">
        <f>'Stavební rozpočet'!L25</f>
        <v>0</v>
      </c>
      <c r="G14" s="28">
        <f>'Stavební rozpočet'!M25</f>
        <v>0</v>
      </c>
      <c r="H14" s="28" t="s">
        <v>1642</v>
      </c>
      <c r="I14" s="28">
        <f t="shared" si="0"/>
        <v>0</v>
      </c>
    </row>
    <row r="15" spans="1:9" ht="12.75">
      <c r="A15" s="36" t="s">
        <v>283</v>
      </c>
      <c r="B15" s="15" t="s">
        <v>19</v>
      </c>
      <c r="C15" s="114" t="s">
        <v>606</v>
      </c>
      <c r="D15" s="105"/>
      <c r="E15" s="28">
        <f>'Stavební rozpočet'!K33</f>
        <v>0</v>
      </c>
      <c r="F15" s="28">
        <f>'Stavební rozpočet'!L33</f>
        <v>0</v>
      </c>
      <c r="G15" s="28">
        <f>'Stavební rozpočet'!M33</f>
        <v>0</v>
      </c>
      <c r="H15" s="28" t="s">
        <v>1642</v>
      </c>
      <c r="I15" s="28">
        <f t="shared" si="0"/>
        <v>0</v>
      </c>
    </row>
    <row r="16" spans="1:9" ht="12.75">
      <c r="A16" s="36" t="s">
        <v>283</v>
      </c>
      <c r="B16" s="15" t="s">
        <v>22</v>
      </c>
      <c r="C16" s="114" t="s">
        <v>612</v>
      </c>
      <c r="D16" s="105"/>
      <c r="E16" s="28">
        <f>'Stavební rozpočet'!K40</f>
        <v>0</v>
      </c>
      <c r="F16" s="28">
        <f>'Stavební rozpočet'!L40</f>
        <v>0</v>
      </c>
      <c r="G16" s="28">
        <f>'Stavební rozpočet'!M40</f>
        <v>0</v>
      </c>
      <c r="H16" s="28" t="s">
        <v>1642</v>
      </c>
      <c r="I16" s="28">
        <f t="shared" si="0"/>
        <v>0</v>
      </c>
    </row>
    <row r="17" spans="1:9" ht="12.75">
      <c r="A17" s="36" t="s">
        <v>283</v>
      </c>
      <c r="B17" s="15" t="s">
        <v>23</v>
      </c>
      <c r="C17" s="114" t="s">
        <v>618</v>
      </c>
      <c r="D17" s="105"/>
      <c r="E17" s="28">
        <f>'Stavební rozpočet'!K48</f>
        <v>0</v>
      </c>
      <c r="F17" s="28">
        <f>'Stavební rozpočet'!L48</f>
        <v>0</v>
      </c>
      <c r="G17" s="28">
        <f>'Stavební rozpočet'!M48</f>
        <v>0</v>
      </c>
      <c r="H17" s="28" t="s">
        <v>1642</v>
      </c>
      <c r="I17" s="28">
        <f t="shared" si="0"/>
        <v>0</v>
      </c>
    </row>
    <row r="18" spans="1:9" ht="12.75">
      <c r="A18" s="36" t="s">
        <v>283</v>
      </c>
      <c r="B18" s="15" t="s">
        <v>24</v>
      </c>
      <c r="C18" s="114" t="s">
        <v>623</v>
      </c>
      <c r="D18" s="105"/>
      <c r="E18" s="28">
        <f>'Stavební rozpočet'!K53</f>
        <v>0</v>
      </c>
      <c r="F18" s="28">
        <f>'Stavební rozpočet'!L53</f>
        <v>0</v>
      </c>
      <c r="G18" s="28">
        <f>'Stavební rozpočet'!M53</f>
        <v>0</v>
      </c>
      <c r="H18" s="28" t="s">
        <v>1642</v>
      </c>
      <c r="I18" s="28">
        <f t="shared" si="0"/>
        <v>0</v>
      </c>
    </row>
    <row r="19" spans="1:9" ht="12.75">
      <c r="A19" s="36" t="s">
        <v>283</v>
      </c>
      <c r="B19" s="15" t="s">
        <v>305</v>
      </c>
      <c r="C19" s="114" t="s">
        <v>630</v>
      </c>
      <c r="D19" s="105"/>
      <c r="E19" s="28">
        <f>'Stavební rozpočet'!K63</f>
        <v>0</v>
      </c>
      <c r="F19" s="28">
        <f>'Stavební rozpočet'!L63</f>
        <v>0</v>
      </c>
      <c r="G19" s="28">
        <f>'Stavební rozpočet'!M63</f>
        <v>0</v>
      </c>
      <c r="H19" s="28" t="s">
        <v>1642</v>
      </c>
      <c r="I19" s="28">
        <f t="shared" si="0"/>
        <v>0</v>
      </c>
    </row>
    <row r="20" spans="1:9" ht="12.75">
      <c r="A20" s="36" t="s">
        <v>283</v>
      </c>
      <c r="B20" s="15" t="s">
        <v>25</v>
      </c>
      <c r="C20" s="114" t="s">
        <v>633</v>
      </c>
      <c r="D20" s="105"/>
      <c r="E20" s="28">
        <f>'Stavební rozpočet'!K67</f>
        <v>0</v>
      </c>
      <c r="F20" s="28">
        <f>'Stavební rozpočet'!L67</f>
        <v>0</v>
      </c>
      <c r="G20" s="28">
        <f>'Stavební rozpočet'!M67</f>
        <v>0</v>
      </c>
      <c r="H20" s="28" t="s">
        <v>1642</v>
      </c>
      <c r="I20" s="28">
        <f t="shared" si="0"/>
        <v>0</v>
      </c>
    </row>
    <row r="21" spans="1:9" ht="12.75">
      <c r="A21" s="36" t="s">
        <v>283</v>
      </c>
      <c r="B21" s="15" t="s">
        <v>34</v>
      </c>
      <c r="C21" s="114" t="s">
        <v>636</v>
      </c>
      <c r="D21" s="105"/>
      <c r="E21" s="28">
        <f>'Stavební rozpočet'!K70</f>
        <v>0</v>
      </c>
      <c r="F21" s="28">
        <f>'Stavební rozpočet'!L70</f>
        <v>0</v>
      </c>
      <c r="G21" s="28">
        <f>'Stavební rozpočet'!M70</f>
        <v>0</v>
      </c>
      <c r="H21" s="28" t="s">
        <v>1642</v>
      </c>
      <c r="I21" s="28">
        <f t="shared" si="0"/>
        <v>0</v>
      </c>
    </row>
    <row r="22" spans="1:9" ht="12.75">
      <c r="A22" s="36" t="s">
        <v>283</v>
      </c>
      <c r="B22" s="15" t="s">
        <v>40</v>
      </c>
      <c r="C22" s="114" t="s">
        <v>641</v>
      </c>
      <c r="D22" s="105"/>
      <c r="E22" s="28">
        <f>'Stavební rozpočet'!K76</f>
        <v>0</v>
      </c>
      <c r="F22" s="28">
        <f>'Stavební rozpočet'!L76</f>
        <v>0</v>
      </c>
      <c r="G22" s="28">
        <f>'Stavební rozpočet'!M76</f>
        <v>0</v>
      </c>
      <c r="H22" s="28" t="s">
        <v>1642</v>
      </c>
      <c r="I22" s="28">
        <f t="shared" si="0"/>
        <v>0</v>
      </c>
    </row>
    <row r="23" spans="1:9" ht="12.75">
      <c r="A23" s="36" t="s">
        <v>283</v>
      </c>
      <c r="B23" s="15" t="s">
        <v>65</v>
      </c>
      <c r="C23" s="114" t="s">
        <v>652</v>
      </c>
      <c r="D23" s="105"/>
      <c r="E23" s="28">
        <f>'Stavební rozpočet'!K89</f>
        <v>0</v>
      </c>
      <c r="F23" s="28">
        <f>'Stavební rozpočet'!L89</f>
        <v>0</v>
      </c>
      <c r="G23" s="28">
        <f>'Stavební rozpočet'!M89</f>
        <v>0</v>
      </c>
      <c r="H23" s="28" t="s">
        <v>1642</v>
      </c>
      <c r="I23" s="28">
        <f t="shared" si="0"/>
        <v>0</v>
      </c>
    </row>
    <row r="24" spans="1:9" ht="12.75">
      <c r="A24" s="36" t="s">
        <v>283</v>
      </c>
      <c r="B24" s="15" t="s">
        <v>66</v>
      </c>
      <c r="C24" s="114" t="s">
        <v>666</v>
      </c>
      <c r="D24" s="105"/>
      <c r="E24" s="28">
        <f>'Stavební rozpočet'!K107</f>
        <v>0</v>
      </c>
      <c r="F24" s="28">
        <f>'Stavební rozpočet'!L107</f>
        <v>0</v>
      </c>
      <c r="G24" s="28">
        <f>'Stavební rozpočet'!M107</f>
        <v>0</v>
      </c>
      <c r="H24" s="28" t="s">
        <v>1642</v>
      </c>
      <c r="I24" s="28">
        <f t="shared" si="0"/>
        <v>0</v>
      </c>
    </row>
    <row r="25" spans="1:9" ht="12.75">
      <c r="A25" s="36" t="s">
        <v>283</v>
      </c>
      <c r="B25" s="15" t="s">
        <v>67</v>
      </c>
      <c r="C25" s="114" t="s">
        <v>683</v>
      </c>
      <c r="D25" s="105"/>
      <c r="E25" s="28">
        <f>'Stavební rozpočet'!K130</f>
        <v>0</v>
      </c>
      <c r="F25" s="28">
        <f>'Stavební rozpočet'!L130</f>
        <v>0</v>
      </c>
      <c r="G25" s="28">
        <f>'Stavební rozpočet'!M130</f>
        <v>0</v>
      </c>
      <c r="H25" s="28" t="s">
        <v>1642</v>
      </c>
      <c r="I25" s="28">
        <f t="shared" si="0"/>
        <v>0</v>
      </c>
    </row>
    <row r="26" spans="1:9" ht="12.75">
      <c r="A26" s="36" t="s">
        <v>283</v>
      </c>
      <c r="B26" s="15" t="s">
        <v>68</v>
      </c>
      <c r="C26" s="114" t="s">
        <v>690</v>
      </c>
      <c r="D26" s="105"/>
      <c r="E26" s="28">
        <f>'Stavební rozpočet'!K138</f>
        <v>0</v>
      </c>
      <c r="F26" s="28">
        <f>'Stavební rozpočet'!L138</f>
        <v>0</v>
      </c>
      <c r="G26" s="28">
        <f>'Stavební rozpočet'!M138</f>
        <v>0</v>
      </c>
      <c r="H26" s="28" t="s">
        <v>1642</v>
      </c>
      <c r="I26" s="28">
        <f t="shared" si="0"/>
        <v>0</v>
      </c>
    </row>
    <row r="27" spans="1:9" ht="12.75">
      <c r="A27" s="36" t="s">
        <v>283</v>
      </c>
      <c r="B27" s="15" t="s">
        <v>69</v>
      </c>
      <c r="C27" s="114" t="s">
        <v>784</v>
      </c>
      <c r="D27" s="105"/>
      <c r="E27" s="28">
        <f>'Stavební rozpočet'!K277</f>
        <v>0</v>
      </c>
      <c r="F27" s="28">
        <f>'Stavební rozpočet'!L277</f>
        <v>0</v>
      </c>
      <c r="G27" s="28">
        <f>'Stavební rozpočet'!M277</f>
        <v>0</v>
      </c>
      <c r="H27" s="28" t="s">
        <v>1642</v>
      </c>
      <c r="I27" s="28">
        <f t="shared" si="0"/>
        <v>0</v>
      </c>
    </row>
    <row r="28" spans="1:9" ht="12.75">
      <c r="A28" s="36" t="s">
        <v>283</v>
      </c>
      <c r="B28" s="15" t="s">
        <v>70</v>
      </c>
      <c r="C28" s="114" t="s">
        <v>797</v>
      </c>
      <c r="D28" s="105"/>
      <c r="E28" s="28">
        <f>'Stavební rozpočet'!K301</f>
        <v>0</v>
      </c>
      <c r="F28" s="28">
        <f>'Stavební rozpočet'!L301</f>
        <v>0</v>
      </c>
      <c r="G28" s="28">
        <f>'Stavební rozpočet'!M301</f>
        <v>0</v>
      </c>
      <c r="H28" s="28" t="s">
        <v>1642</v>
      </c>
      <c r="I28" s="28">
        <f t="shared" si="0"/>
        <v>0</v>
      </c>
    </row>
    <row r="29" spans="1:9" ht="12.75">
      <c r="A29" s="36" t="s">
        <v>283</v>
      </c>
      <c r="B29" s="15" t="s">
        <v>355</v>
      </c>
      <c r="C29" s="114" t="s">
        <v>811</v>
      </c>
      <c r="D29" s="105"/>
      <c r="E29" s="28">
        <f>'Stavební rozpočet'!K315</f>
        <v>0</v>
      </c>
      <c r="F29" s="28">
        <f>'Stavební rozpočet'!L315</f>
        <v>0</v>
      </c>
      <c r="G29" s="28">
        <f>'Stavební rozpočet'!M315</f>
        <v>0</v>
      </c>
      <c r="H29" s="28" t="s">
        <v>1642</v>
      </c>
      <c r="I29" s="28">
        <f t="shared" si="0"/>
        <v>0</v>
      </c>
    </row>
    <row r="30" spans="1:9" ht="12.75">
      <c r="A30" s="36" t="s">
        <v>283</v>
      </c>
      <c r="B30" s="15" t="s">
        <v>363</v>
      </c>
      <c r="C30" s="114" t="s">
        <v>831</v>
      </c>
      <c r="D30" s="105"/>
      <c r="E30" s="28">
        <f>'Stavební rozpočet'!K345</f>
        <v>0</v>
      </c>
      <c r="F30" s="28">
        <f>'Stavební rozpočet'!L345</f>
        <v>0</v>
      </c>
      <c r="G30" s="28">
        <f>'Stavební rozpočet'!M345</f>
        <v>0</v>
      </c>
      <c r="H30" s="28" t="s">
        <v>1642</v>
      </c>
      <c r="I30" s="28">
        <f t="shared" si="0"/>
        <v>0</v>
      </c>
    </row>
    <row r="31" spans="1:9" ht="12.75">
      <c r="A31" s="36" t="s">
        <v>283</v>
      </c>
      <c r="B31" s="15" t="s">
        <v>376</v>
      </c>
      <c r="C31" s="114" t="s">
        <v>867</v>
      </c>
      <c r="D31" s="105"/>
      <c r="E31" s="28">
        <f>'Stavební rozpočet'!K417</f>
        <v>0</v>
      </c>
      <c r="F31" s="28">
        <f>'Stavební rozpočet'!L417</f>
        <v>0</v>
      </c>
      <c r="G31" s="28">
        <f>'Stavební rozpočet'!M417</f>
        <v>0</v>
      </c>
      <c r="H31" s="28" t="s">
        <v>1642</v>
      </c>
      <c r="I31" s="28">
        <f t="shared" si="0"/>
        <v>0</v>
      </c>
    </row>
    <row r="32" spans="1:9" ht="12.75">
      <c r="A32" s="36" t="s">
        <v>283</v>
      </c>
      <c r="B32" s="15" t="s">
        <v>380</v>
      </c>
      <c r="C32" s="114" t="s">
        <v>875</v>
      </c>
      <c r="D32" s="105"/>
      <c r="E32" s="28">
        <f>'Stavební rozpočet'!K428</f>
        <v>0</v>
      </c>
      <c r="F32" s="28">
        <f>'Stavební rozpočet'!L428</f>
        <v>0</v>
      </c>
      <c r="G32" s="28">
        <f>'Stavební rozpočet'!M428</f>
        <v>0</v>
      </c>
      <c r="H32" s="28" t="s">
        <v>1642</v>
      </c>
      <c r="I32" s="28">
        <f t="shared" si="0"/>
        <v>0</v>
      </c>
    </row>
    <row r="33" spans="1:9" ht="12.75">
      <c r="A33" s="36" t="s">
        <v>283</v>
      </c>
      <c r="B33" s="15" t="s">
        <v>383</v>
      </c>
      <c r="C33" s="114" t="s">
        <v>880</v>
      </c>
      <c r="D33" s="105"/>
      <c r="E33" s="28">
        <f>'Stavební rozpočet'!K434</f>
        <v>0</v>
      </c>
      <c r="F33" s="28">
        <f>'Stavební rozpočet'!L434</f>
        <v>0</v>
      </c>
      <c r="G33" s="28">
        <f>'Stavební rozpočet'!M434</f>
        <v>0</v>
      </c>
      <c r="H33" s="28" t="s">
        <v>1642</v>
      </c>
      <c r="I33" s="28">
        <f t="shared" si="0"/>
        <v>0</v>
      </c>
    </row>
    <row r="34" spans="1:9" ht="12.75">
      <c r="A34" s="36" t="s">
        <v>283</v>
      </c>
      <c r="B34" s="15" t="s">
        <v>389</v>
      </c>
      <c r="C34" s="114" t="s">
        <v>888</v>
      </c>
      <c r="D34" s="105"/>
      <c r="E34" s="28">
        <f>'Stavební rozpočet'!K450</f>
        <v>0</v>
      </c>
      <c r="F34" s="28">
        <f>'Stavební rozpočet'!L450</f>
        <v>0</v>
      </c>
      <c r="G34" s="28">
        <f>'Stavební rozpočet'!M450</f>
        <v>0</v>
      </c>
      <c r="H34" s="28" t="s">
        <v>1642</v>
      </c>
      <c r="I34" s="28">
        <f t="shared" si="0"/>
        <v>0</v>
      </c>
    </row>
    <row r="35" spans="1:9" ht="12.75">
      <c r="A35" s="36" t="s">
        <v>283</v>
      </c>
      <c r="B35" s="15" t="s">
        <v>393</v>
      </c>
      <c r="C35" s="114" t="s">
        <v>894</v>
      </c>
      <c r="D35" s="105"/>
      <c r="E35" s="28">
        <f>'Stavební rozpočet'!K460</f>
        <v>0</v>
      </c>
      <c r="F35" s="28">
        <f>'Stavební rozpočet'!L460</f>
        <v>0</v>
      </c>
      <c r="G35" s="28">
        <f>'Stavební rozpočet'!M460</f>
        <v>0</v>
      </c>
      <c r="H35" s="28" t="s">
        <v>1642</v>
      </c>
      <c r="I35" s="28">
        <f t="shared" si="0"/>
        <v>0</v>
      </c>
    </row>
    <row r="36" spans="1:9" ht="12.75">
      <c r="A36" s="36" t="s">
        <v>283</v>
      </c>
      <c r="B36" s="15" t="s">
        <v>408</v>
      </c>
      <c r="C36" s="114" t="s">
        <v>936</v>
      </c>
      <c r="D36" s="105"/>
      <c r="E36" s="28">
        <f>'Stavební rozpočet'!K526</f>
        <v>0</v>
      </c>
      <c r="F36" s="28">
        <f>'Stavební rozpočet'!L526</f>
        <v>0</v>
      </c>
      <c r="G36" s="28">
        <f>'Stavební rozpočet'!M526</f>
        <v>0</v>
      </c>
      <c r="H36" s="28" t="s">
        <v>1642</v>
      </c>
      <c r="I36" s="28">
        <f t="shared" si="0"/>
        <v>0</v>
      </c>
    </row>
    <row r="37" spans="1:9" ht="12.75">
      <c r="A37" s="36" t="s">
        <v>283</v>
      </c>
      <c r="B37" s="15" t="s">
        <v>414</v>
      </c>
      <c r="C37" s="114" t="s">
        <v>952</v>
      </c>
      <c r="D37" s="105"/>
      <c r="E37" s="28">
        <f>'Stavební rozpočet'!K546</f>
        <v>0</v>
      </c>
      <c r="F37" s="28">
        <f>'Stavební rozpočet'!L546</f>
        <v>0</v>
      </c>
      <c r="G37" s="28">
        <f>'Stavební rozpočet'!M546</f>
        <v>0</v>
      </c>
      <c r="H37" s="28" t="s">
        <v>1642</v>
      </c>
      <c r="I37" s="28">
        <f t="shared" si="0"/>
        <v>0</v>
      </c>
    </row>
    <row r="38" spans="1:9" ht="12.75">
      <c r="A38" s="36" t="s">
        <v>283</v>
      </c>
      <c r="B38" s="15" t="s">
        <v>435</v>
      </c>
      <c r="C38" s="114" t="s">
        <v>1028</v>
      </c>
      <c r="D38" s="105"/>
      <c r="E38" s="28">
        <f>'Stavební rozpočet'!K657</f>
        <v>0</v>
      </c>
      <c r="F38" s="28">
        <f>'Stavební rozpočet'!L657</f>
        <v>0</v>
      </c>
      <c r="G38" s="28">
        <f>'Stavební rozpočet'!M657</f>
        <v>0</v>
      </c>
      <c r="H38" s="28" t="s">
        <v>1642</v>
      </c>
      <c r="I38" s="28">
        <f t="shared" si="0"/>
        <v>0</v>
      </c>
    </row>
    <row r="39" spans="1:9" ht="12.75">
      <c r="A39" s="36" t="s">
        <v>283</v>
      </c>
      <c r="B39" s="15" t="s">
        <v>448</v>
      </c>
      <c r="C39" s="114" t="s">
        <v>1063</v>
      </c>
      <c r="D39" s="105"/>
      <c r="E39" s="28">
        <f>'Stavební rozpočet'!K707</f>
        <v>0</v>
      </c>
      <c r="F39" s="28">
        <f>'Stavební rozpočet'!L707</f>
        <v>0</v>
      </c>
      <c r="G39" s="28">
        <f>'Stavební rozpočet'!M707</f>
        <v>0</v>
      </c>
      <c r="H39" s="28" t="s">
        <v>1642</v>
      </c>
      <c r="I39" s="28">
        <f t="shared" si="0"/>
        <v>0</v>
      </c>
    </row>
    <row r="40" spans="1:9" ht="12.75">
      <c r="A40" s="36" t="s">
        <v>283</v>
      </c>
      <c r="B40" s="15" t="s">
        <v>480</v>
      </c>
      <c r="C40" s="114" t="s">
        <v>1098</v>
      </c>
      <c r="D40" s="105"/>
      <c r="E40" s="28">
        <f>'Stavební rozpočet'!K816</f>
        <v>0</v>
      </c>
      <c r="F40" s="28">
        <f>'Stavební rozpočet'!L816</f>
        <v>0</v>
      </c>
      <c r="G40" s="28">
        <f>'Stavební rozpočet'!M816</f>
        <v>0</v>
      </c>
      <c r="H40" s="28" t="s">
        <v>1642</v>
      </c>
      <c r="I40" s="28">
        <f t="shared" si="0"/>
        <v>0</v>
      </c>
    </row>
    <row r="41" spans="1:9" ht="12.75">
      <c r="A41" s="36" t="s">
        <v>283</v>
      </c>
      <c r="B41" s="15" t="s">
        <v>488</v>
      </c>
      <c r="C41" s="114" t="s">
        <v>1118</v>
      </c>
      <c r="D41" s="105"/>
      <c r="E41" s="28">
        <f>'Stavební rozpočet'!K846</f>
        <v>0</v>
      </c>
      <c r="F41" s="28">
        <f>'Stavební rozpočet'!L846</f>
        <v>0</v>
      </c>
      <c r="G41" s="28">
        <f>'Stavební rozpočet'!M846</f>
        <v>0</v>
      </c>
      <c r="H41" s="28" t="s">
        <v>1642</v>
      </c>
      <c r="I41" s="28">
        <f t="shared" si="0"/>
        <v>0</v>
      </c>
    </row>
    <row r="42" spans="1:9" ht="12.75">
      <c r="A42" s="36" t="s">
        <v>283</v>
      </c>
      <c r="B42" s="15" t="s">
        <v>499</v>
      </c>
      <c r="C42" s="114" t="s">
        <v>1151</v>
      </c>
      <c r="D42" s="105"/>
      <c r="E42" s="28">
        <f>'Stavební rozpočet'!K890</f>
        <v>0</v>
      </c>
      <c r="F42" s="28">
        <f>'Stavební rozpočet'!L890</f>
        <v>0</v>
      </c>
      <c r="G42" s="28">
        <f>'Stavební rozpočet'!M890</f>
        <v>0</v>
      </c>
      <c r="H42" s="28" t="s">
        <v>1642</v>
      </c>
      <c r="I42" s="28">
        <f t="shared" si="0"/>
        <v>0</v>
      </c>
    </row>
    <row r="43" spans="1:9" ht="12.75">
      <c r="A43" s="36" t="s">
        <v>283</v>
      </c>
      <c r="B43" s="15" t="s">
        <v>502</v>
      </c>
      <c r="C43" s="114" t="s">
        <v>1158</v>
      </c>
      <c r="D43" s="105"/>
      <c r="E43" s="28">
        <f>'Stavební rozpočet'!K899</f>
        <v>0</v>
      </c>
      <c r="F43" s="28">
        <f>'Stavební rozpočet'!L899</f>
        <v>0</v>
      </c>
      <c r="G43" s="28">
        <f>'Stavební rozpočet'!M899</f>
        <v>0</v>
      </c>
      <c r="H43" s="28" t="s">
        <v>1642</v>
      </c>
      <c r="I43" s="28">
        <f t="shared" si="0"/>
        <v>0</v>
      </c>
    </row>
    <row r="44" spans="1:9" ht="12.75">
      <c r="A44" s="36" t="s">
        <v>283</v>
      </c>
      <c r="B44" s="15" t="s">
        <v>504</v>
      </c>
      <c r="C44" s="114" t="s">
        <v>1161</v>
      </c>
      <c r="D44" s="105"/>
      <c r="E44" s="28">
        <f>'Stavební rozpočet'!K905</f>
        <v>0</v>
      </c>
      <c r="F44" s="28">
        <f>'Stavební rozpočet'!L905</f>
        <v>0</v>
      </c>
      <c r="G44" s="28">
        <f>'Stavební rozpočet'!M905</f>
        <v>0</v>
      </c>
      <c r="H44" s="28" t="s">
        <v>1642</v>
      </c>
      <c r="I44" s="28">
        <f t="shared" si="0"/>
        <v>0</v>
      </c>
    </row>
    <row r="45" spans="1:9" ht="12.75">
      <c r="A45" s="36" t="s">
        <v>283</v>
      </c>
      <c r="B45" s="15" t="s">
        <v>96</v>
      </c>
      <c r="C45" s="114" t="s">
        <v>1170</v>
      </c>
      <c r="D45" s="105"/>
      <c r="E45" s="28">
        <f>'Stavební rozpočet'!K916</f>
        <v>0</v>
      </c>
      <c r="F45" s="28">
        <f>'Stavební rozpočet'!L916</f>
        <v>0</v>
      </c>
      <c r="G45" s="28">
        <f>'Stavební rozpočet'!M916</f>
        <v>0</v>
      </c>
      <c r="H45" s="28" t="s">
        <v>1642</v>
      </c>
      <c r="I45" s="28">
        <f t="shared" si="0"/>
        <v>0</v>
      </c>
    </row>
    <row r="46" spans="1:9" ht="12.75">
      <c r="A46" s="36" t="s">
        <v>283</v>
      </c>
      <c r="B46" s="15" t="s">
        <v>100</v>
      </c>
      <c r="C46" s="114" t="s">
        <v>1179</v>
      </c>
      <c r="D46" s="105"/>
      <c r="E46" s="28">
        <f>'Stavební rozpočet'!K926</f>
        <v>0</v>
      </c>
      <c r="F46" s="28">
        <f>'Stavební rozpočet'!L926</f>
        <v>0</v>
      </c>
      <c r="G46" s="28">
        <f>'Stavební rozpočet'!M926</f>
        <v>0</v>
      </c>
      <c r="H46" s="28" t="s">
        <v>1642</v>
      </c>
      <c r="I46" s="28">
        <f t="shared" si="0"/>
        <v>0</v>
      </c>
    </row>
    <row r="47" spans="1:9" ht="12.75">
      <c r="A47" s="36" t="s">
        <v>283</v>
      </c>
      <c r="B47" s="15" t="s">
        <v>101</v>
      </c>
      <c r="C47" s="114" t="s">
        <v>1202</v>
      </c>
      <c r="D47" s="105"/>
      <c r="E47" s="28">
        <f>'Stavební rozpočet'!K950</f>
        <v>0</v>
      </c>
      <c r="F47" s="28">
        <f>'Stavební rozpočet'!L950</f>
        <v>0</v>
      </c>
      <c r="G47" s="28">
        <f>'Stavební rozpočet'!M950</f>
        <v>0</v>
      </c>
      <c r="H47" s="28" t="s">
        <v>1642</v>
      </c>
      <c r="I47" s="28">
        <f t="shared" si="0"/>
        <v>0</v>
      </c>
    </row>
    <row r="48" spans="1:9" ht="12.75">
      <c r="A48" s="36" t="s">
        <v>283</v>
      </c>
      <c r="B48" s="15" t="s">
        <v>522</v>
      </c>
      <c r="C48" s="114" t="s">
        <v>1217</v>
      </c>
      <c r="D48" s="105"/>
      <c r="E48" s="28">
        <f>'Stavební rozpočet'!K968</f>
        <v>0</v>
      </c>
      <c r="F48" s="28">
        <f>'Stavební rozpočet'!L968</f>
        <v>0</v>
      </c>
      <c r="G48" s="28">
        <f>'Stavební rozpočet'!M968</f>
        <v>0</v>
      </c>
      <c r="H48" s="28" t="s">
        <v>1642</v>
      </c>
      <c r="I48" s="28">
        <f t="shared" si="0"/>
        <v>0</v>
      </c>
    </row>
    <row r="49" spans="1:9" ht="12.75">
      <c r="A49" s="36" t="s">
        <v>283</v>
      </c>
      <c r="B49" s="15" t="s">
        <v>102</v>
      </c>
      <c r="C49" s="114" t="s">
        <v>1220</v>
      </c>
      <c r="D49" s="105"/>
      <c r="E49" s="28">
        <f>'Stavební rozpočet'!K973</f>
        <v>0</v>
      </c>
      <c r="F49" s="28">
        <f>'Stavební rozpočet'!L973</f>
        <v>0</v>
      </c>
      <c r="G49" s="28">
        <f>'Stavební rozpočet'!M973</f>
        <v>0</v>
      </c>
      <c r="H49" s="28" t="s">
        <v>1642</v>
      </c>
      <c r="I49" s="28">
        <f t="shared" si="0"/>
        <v>0</v>
      </c>
    </row>
    <row r="50" spans="1:9" ht="12.75">
      <c r="A50" s="36" t="s">
        <v>283</v>
      </c>
      <c r="B50" s="15" t="s">
        <v>103</v>
      </c>
      <c r="C50" s="114" t="s">
        <v>1259</v>
      </c>
      <c r="D50" s="105"/>
      <c r="E50" s="28">
        <f>'Stavební rozpočet'!K1037</f>
        <v>0</v>
      </c>
      <c r="F50" s="28">
        <f>'Stavební rozpočet'!L1037</f>
        <v>0</v>
      </c>
      <c r="G50" s="28">
        <f>'Stavební rozpočet'!M1037</f>
        <v>0</v>
      </c>
      <c r="H50" s="28" t="s">
        <v>1642</v>
      </c>
      <c r="I50" s="28">
        <f t="shared" si="0"/>
        <v>0</v>
      </c>
    </row>
    <row r="51" spans="1:9" ht="12.75">
      <c r="A51" s="36" t="s">
        <v>283</v>
      </c>
      <c r="B51" s="15" t="s">
        <v>541</v>
      </c>
      <c r="C51" s="114" t="s">
        <v>1266</v>
      </c>
      <c r="D51" s="105"/>
      <c r="E51" s="28">
        <f>'Stavební rozpočet'!K1047</f>
        <v>0</v>
      </c>
      <c r="F51" s="28">
        <f>'Stavební rozpočet'!L1047</f>
        <v>0</v>
      </c>
      <c r="G51" s="28">
        <f>'Stavební rozpočet'!M1047</f>
        <v>0</v>
      </c>
      <c r="H51" s="28" t="s">
        <v>1642</v>
      </c>
      <c r="I51" s="28">
        <f t="shared" si="0"/>
        <v>0</v>
      </c>
    </row>
    <row r="52" spans="1:9" ht="12.75">
      <c r="A52" s="36" t="s">
        <v>283</v>
      </c>
      <c r="B52" s="15" t="s">
        <v>560</v>
      </c>
      <c r="C52" s="114" t="s">
        <v>1286</v>
      </c>
      <c r="D52" s="105"/>
      <c r="E52" s="28">
        <f>'Stavební rozpočet'!K1102</f>
        <v>0</v>
      </c>
      <c r="F52" s="28">
        <f>'Stavební rozpočet'!L1102</f>
        <v>0</v>
      </c>
      <c r="G52" s="28">
        <f>'Stavební rozpočet'!M1102</f>
        <v>0</v>
      </c>
      <c r="H52" s="28" t="s">
        <v>1642</v>
      </c>
      <c r="I52" s="28">
        <f t="shared" si="0"/>
        <v>0</v>
      </c>
    </row>
    <row r="53" spans="1:9" ht="12.75">
      <c r="A53" s="36" t="s">
        <v>283</v>
      </c>
      <c r="B53" s="15" t="s">
        <v>564</v>
      </c>
      <c r="C53" s="114" t="s">
        <v>1293</v>
      </c>
      <c r="D53" s="105"/>
      <c r="E53" s="28">
        <f>'Stavební rozpočet'!K1115</f>
        <v>0</v>
      </c>
      <c r="F53" s="28">
        <f>'Stavební rozpočet'!L1115</f>
        <v>0</v>
      </c>
      <c r="G53" s="28">
        <f>'Stavební rozpočet'!M1115</f>
        <v>0</v>
      </c>
      <c r="H53" s="28" t="s">
        <v>1642</v>
      </c>
      <c r="I53" s="28">
        <f t="shared" si="0"/>
        <v>0</v>
      </c>
    </row>
    <row r="54" spans="1:9" ht="12.75">
      <c r="A54" s="36" t="s">
        <v>283</v>
      </c>
      <c r="B54" s="15" t="s">
        <v>569</v>
      </c>
      <c r="C54" s="114" t="s">
        <v>1299</v>
      </c>
      <c r="D54" s="105"/>
      <c r="E54" s="28">
        <f>'Stavební rozpočet'!K1129</f>
        <v>0</v>
      </c>
      <c r="F54" s="28">
        <f>'Stavební rozpočet'!L1129</f>
        <v>0</v>
      </c>
      <c r="G54" s="28">
        <f>'Stavební rozpočet'!M1129</f>
        <v>0</v>
      </c>
      <c r="H54" s="28" t="s">
        <v>1642</v>
      </c>
      <c r="I54" s="28">
        <f t="shared" si="0"/>
        <v>0</v>
      </c>
    </row>
    <row r="55" spans="1:9" ht="12.75">
      <c r="A55" s="36" t="s">
        <v>283</v>
      </c>
      <c r="B55" s="15"/>
      <c r="C55" s="114" t="s">
        <v>1312</v>
      </c>
      <c r="D55" s="105"/>
      <c r="E55" s="28">
        <f>'Stavební rozpočet'!K1145</f>
        <v>0</v>
      </c>
      <c r="F55" s="28">
        <f>'Stavební rozpočet'!L1145</f>
        <v>0</v>
      </c>
      <c r="G55" s="28">
        <f>'Stavební rozpočet'!M1145</f>
        <v>0</v>
      </c>
      <c r="H55" s="28" t="s">
        <v>1642</v>
      </c>
      <c r="I55" s="28">
        <f t="shared" si="0"/>
        <v>0</v>
      </c>
    </row>
    <row r="56" spans="1:9" ht="12.75">
      <c r="A56" s="36" t="s">
        <v>284</v>
      </c>
      <c r="B56" s="15"/>
      <c r="C56" s="114" t="s">
        <v>1316</v>
      </c>
      <c r="D56" s="105"/>
      <c r="E56" s="28">
        <f>'Stavební rozpočet'!K1150</f>
        <v>0</v>
      </c>
      <c r="F56" s="28">
        <f>'Stavební rozpočet'!L1150</f>
        <v>0</v>
      </c>
      <c r="G56" s="28">
        <f>'Stavební rozpočet'!M1150</f>
        <v>0</v>
      </c>
      <c r="H56" s="28" t="s">
        <v>1641</v>
      </c>
      <c r="I56" s="28">
        <f t="shared" si="0"/>
        <v>0</v>
      </c>
    </row>
    <row r="57" spans="1:9" ht="12.75">
      <c r="A57" s="36" t="s">
        <v>284</v>
      </c>
      <c r="B57" s="15" t="s">
        <v>288</v>
      </c>
      <c r="C57" s="114" t="s">
        <v>592</v>
      </c>
      <c r="D57" s="105"/>
      <c r="E57" s="28">
        <f>'Stavební rozpočet'!K1151</f>
        <v>0</v>
      </c>
      <c r="F57" s="28">
        <f>'Stavební rozpočet'!L1151</f>
        <v>0</v>
      </c>
      <c r="G57" s="28">
        <f>'Stavební rozpočet'!M1151</f>
        <v>0</v>
      </c>
      <c r="H57" s="28" t="s">
        <v>1642</v>
      </c>
      <c r="I57" s="28">
        <f t="shared" si="0"/>
        <v>0</v>
      </c>
    </row>
    <row r="58" spans="1:9" ht="12.75">
      <c r="A58" s="36" t="s">
        <v>284</v>
      </c>
      <c r="B58" s="15" t="s">
        <v>580</v>
      </c>
      <c r="C58" s="114" t="s">
        <v>1319</v>
      </c>
      <c r="D58" s="105"/>
      <c r="E58" s="28">
        <f>'Stavební rozpočet'!K1156</f>
        <v>0</v>
      </c>
      <c r="F58" s="28">
        <f>'Stavební rozpočet'!L1156</f>
        <v>0</v>
      </c>
      <c r="G58" s="28">
        <f>'Stavební rozpočet'!M1156</f>
        <v>0</v>
      </c>
      <c r="H58" s="28" t="s">
        <v>1642</v>
      </c>
      <c r="I58" s="28">
        <f t="shared" si="0"/>
        <v>0</v>
      </c>
    </row>
    <row r="59" spans="6:7" ht="12.75">
      <c r="F59" s="42" t="s">
        <v>1549</v>
      </c>
      <c r="G59" s="44">
        <f>SUM(I11:I58)</f>
        <v>0</v>
      </c>
    </row>
  </sheetData>
  <sheetProtection/>
  <mergeCells count="73">
    <mergeCell ref="C53:D53"/>
    <mergeCell ref="C54:D54"/>
    <mergeCell ref="C55:D55"/>
    <mergeCell ref="C56:D56"/>
    <mergeCell ref="C57:D57"/>
    <mergeCell ref="C58:D58"/>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A8:B9"/>
    <mergeCell ref="C8:C9"/>
    <mergeCell ref="D8:D9"/>
    <mergeCell ref="E8:E9"/>
    <mergeCell ref="F8:F9"/>
    <mergeCell ref="G8:G9"/>
    <mergeCell ref="A6:B7"/>
    <mergeCell ref="C6:C7"/>
    <mergeCell ref="D6:D7"/>
    <mergeCell ref="E6:E7"/>
    <mergeCell ref="F6:F7"/>
    <mergeCell ref="G6:G7"/>
    <mergeCell ref="A4:B5"/>
    <mergeCell ref="C4:C5"/>
    <mergeCell ref="D4:D5"/>
    <mergeCell ref="E4:E5"/>
    <mergeCell ref="F4:F5"/>
    <mergeCell ref="G4:G5"/>
    <mergeCell ref="A1:G1"/>
    <mergeCell ref="A2:B3"/>
    <mergeCell ref="C2:C3"/>
    <mergeCell ref="D2:D3"/>
    <mergeCell ref="E2:E3"/>
    <mergeCell ref="F2:F3"/>
    <mergeCell ref="G2:G3"/>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11"/>
      <c r="C1" s="160" t="s">
        <v>1687</v>
      </c>
      <c r="D1" s="101"/>
      <c r="E1" s="101"/>
      <c r="F1" s="101"/>
      <c r="G1" s="101"/>
      <c r="H1" s="101"/>
      <c r="I1" s="101"/>
    </row>
    <row r="2" spans="1:10" ht="12.75">
      <c r="A2" s="102" t="s">
        <v>1</v>
      </c>
      <c r="B2" s="103"/>
      <c r="C2" s="106" t="str">
        <f>'Stavební rozpočet'!D2</f>
        <v>Revitalizace BD Nádražní 7, 9 v Mikulově</v>
      </c>
      <c r="D2" s="161"/>
      <c r="E2" s="109" t="s">
        <v>1328</v>
      </c>
      <c r="F2" s="109" t="str">
        <f>'Stavební rozpočet'!H2</f>
        <v> </v>
      </c>
      <c r="G2" s="103"/>
      <c r="H2" s="109" t="s">
        <v>1682</v>
      </c>
      <c r="I2" s="162"/>
      <c r="J2" s="3"/>
    </row>
    <row r="3" spans="1:10" ht="12.75">
      <c r="A3" s="104"/>
      <c r="B3" s="105"/>
      <c r="C3" s="107"/>
      <c r="D3" s="107"/>
      <c r="E3" s="105"/>
      <c r="F3" s="105"/>
      <c r="G3" s="105"/>
      <c r="H3" s="105"/>
      <c r="I3" s="111"/>
      <c r="J3" s="3"/>
    </row>
    <row r="4" spans="1:10" ht="12.75">
      <c r="A4" s="112" t="s">
        <v>2</v>
      </c>
      <c r="B4" s="105"/>
      <c r="C4" s="113" t="str">
        <f>'Stavební rozpočet'!D4</f>
        <v>bytový dům</v>
      </c>
      <c r="D4" s="105"/>
      <c r="E4" s="113" t="s">
        <v>1329</v>
      </c>
      <c r="F4" s="113" t="str">
        <f>'Stavební rozpočet'!H4</f>
        <v>Tomáš Sýkora</v>
      </c>
      <c r="G4" s="105"/>
      <c r="H4" s="113" t="s">
        <v>1682</v>
      </c>
      <c r="I4" s="163" t="s">
        <v>1686</v>
      </c>
      <c r="J4" s="3"/>
    </row>
    <row r="5" spans="1:10" ht="12.75">
      <c r="A5" s="104"/>
      <c r="B5" s="105"/>
      <c r="C5" s="105"/>
      <c r="D5" s="105"/>
      <c r="E5" s="105"/>
      <c r="F5" s="105"/>
      <c r="G5" s="105"/>
      <c r="H5" s="105"/>
      <c r="I5" s="111"/>
      <c r="J5" s="3"/>
    </row>
    <row r="6" spans="1:10" ht="12.75">
      <c r="A6" s="112" t="s">
        <v>3</v>
      </c>
      <c r="B6" s="105"/>
      <c r="C6" s="113" t="str">
        <f>'Stavební rozpočet'!D6</f>
        <v>Parcela č. 1948/1, 1949, k.ú.  Mikulov na Moravě [694193]</v>
      </c>
      <c r="D6" s="105"/>
      <c r="E6" s="113" t="s">
        <v>1330</v>
      </c>
      <c r="F6" s="113" t="str">
        <f>'Stavební rozpočet'!H6</f>
        <v> </v>
      </c>
      <c r="G6" s="105"/>
      <c r="H6" s="113" t="s">
        <v>1682</v>
      </c>
      <c r="I6" s="163"/>
      <c r="J6" s="3"/>
    </row>
    <row r="7" spans="1:10" ht="12.75">
      <c r="A7" s="104"/>
      <c r="B7" s="105"/>
      <c r="C7" s="105"/>
      <c r="D7" s="105"/>
      <c r="E7" s="105"/>
      <c r="F7" s="105"/>
      <c r="G7" s="105"/>
      <c r="H7" s="105"/>
      <c r="I7" s="111"/>
      <c r="J7" s="3"/>
    </row>
    <row r="8" spans="1:10" ht="12.75">
      <c r="A8" s="112" t="s">
        <v>1324</v>
      </c>
      <c r="B8" s="105"/>
      <c r="C8" s="113" t="str">
        <f>'Stavební rozpočet'!F4</f>
        <v> </v>
      </c>
      <c r="D8" s="105"/>
      <c r="E8" s="113" t="s">
        <v>1325</v>
      </c>
      <c r="F8" s="113" t="str">
        <f>'Stavební rozpočet'!F6</f>
        <v> </v>
      </c>
      <c r="G8" s="105"/>
      <c r="H8" s="114" t="s">
        <v>1683</v>
      </c>
      <c r="I8" s="163" t="s">
        <v>276</v>
      </c>
      <c r="J8" s="3"/>
    </row>
    <row r="9" spans="1:10" ht="12.75">
      <c r="A9" s="104"/>
      <c r="B9" s="105"/>
      <c r="C9" s="105"/>
      <c r="D9" s="105"/>
      <c r="E9" s="105"/>
      <c r="F9" s="105"/>
      <c r="G9" s="105"/>
      <c r="H9" s="105"/>
      <c r="I9" s="111"/>
      <c r="J9" s="3"/>
    </row>
    <row r="10" spans="1:10" ht="12.75">
      <c r="A10" s="112" t="s">
        <v>4</v>
      </c>
      <c r="B10" s="105"/>
      <c r="C10" s="113">
        <f>'Stavební rozpočet'!D8</f>
        <v>8035213</v>
      </c>
      <c r="D10" s="105"/>
      <c r="E10" s="113" t="s">
        <v>1331</v>
      </c>
      <c r="F10" s="113" t="str">
        <f>'Stavební rozpočet'!H8</f>
        <v> </v>
      </c>
      <c r="G10" s="105"/>
      <c r="H10" s="114" t="s">
        <v>1684</v>
      </c>
      <c r="I10" s="157" t="str">
        <f>'Stavební rozpočet'!F8</f>
        <v>21.10.2020</v>
      </c>
      <c r="J10" s="3"/>
    </row>
    <row r="11" spans="1:10" ht="12.75">
      <c r="A11" s="164"/>
      <c r="B11" s="158"/>
      <c r="C11" s="158"/>
      <c r="D11" s="158"/>
      <c r="E11" s="158"/>
      <c r="F11" s="158"/>
      <c r="G11" s="158"/>
      <c r="H11" s="158"/>
      <c r="I11" s="165"/>
      <c r="J11" s="3"/>
    </row>
    <row r="12" spans="1:9" ht="23.25" customHeight="1">
      <c r="A12" s="166" t="s">
        <v>1643</v>
      </c>
      <c r="B12" s="167"/>
      <c r="C12" s="167"/>
      <c r="D12" s="167"/>
      <c r="E12" s="167"/>
      <c r="F12" s="167"/>
      <c r="G12" s="167"/>
      <c r="H12" s="167"/>
      <c r="I12" s="167"/>
    </row>
    <row r="13" spans="1:10" ht="26.25" customHeight="1">
      <c r="A13" s="45" t="s">
        <v>1644</v>
      </c>
      <c r="B13" s="168" t="s">
        <v>1655</v>
      </c>
      <c r="C13" s="169"/>
      <c r="D13" s="45" t="s">
        <v>1658</v>
      </c>
      <c r="E13" s="168" t="s">
        <v>1667</v>
      </c>
      <c r="F13" s="169"/>
      <c r="G13" s="45" t="s">
        <v>1668</v>
      </c>
      <c r="H13" s="168" t="s">
        <v>1685</v>
      </c>
      <c r="I13" s="169"/>
      <c r="J13" s="3"/>
    </row>
    <row r="14" spans="1:10" ht="15" customHeight="1">
      <c r="A14" s="46" t="s">
        <v>1645</v>
      </c>
      <c r="B14" s="50" t="s">
        <v>1656</v>
      </c>
      <c r="C14" s="53">
        <f>SUMIF('Stavební rozpočet'!AI12:AI1161,"SO-01",'Stavební rozpočet'!AB12:AB1161)</f>
        <v>0</v>
      </c>
      <c r="D14" s="170" t="s">
        <v>1659</v>
      </c>
      <c r="E14" s="171"/>
      <c r="F14" s="53">
        <v>0</v>
      </c>
      <c r="G14" s="170" t="s">
        <v>1669</v>
      </c>
      <c r="H14" s="171"/>
      <c r="I14" s="54" t="s">
        <v>1567</v>
      </c>
      <c r="J14" s="3"/>
    </row>
    <row r="15" spans="1:10" ht="15" customHeight="1">
      <c r="A15" s="47"/>
      <c r="B15" s="50" t="s">
        <v>1550</v>
      </c>
      <c r="C15" s="53">
        <f>SUMIF('Stavební rozpočet'!AI12:AI1161,"SO-01",'Stavební rozpočet'!AC12:AC1161)</f>
        <v>0</v>
      </c>
      <c r="D15" s="170" t="s">
        <v>1660</v>
      </c>
      <c r="E15" s="171"/>
      <c r="F15" s="53">
        <v>0</v>
      </c>
      <c r="G15" s="170" t="s">
        <v>1670</v>
      </c>
      <c r="H15" s="171"/>
      <c r="I15" s="54" t="s">
        <v>1567</v>
      </c>
      <c r="J15" s="3"/>
    </row>
    <row r="16" spans="1:10" ht="15" customHeight="1">
      <c r="A16" s="46" t="s">
        <v>1646</v>
      </c>
      <c r="B16" s="50" t="s">
        <v>1656</v>
      </c>
      <c r="C16" s="53">
        <f>SUMIF('Stavební rozpočet'!AI12:AI1161,"SO-01",'Stavební rozpočet'!AD12:AD1161)</f>
        <v>0</v>
      </c>
      <c r="D16" s="170" t="s">
        <v>1661</v>
      </c>
      <c r="E16" s="171"/>
      <c r="F16" s="53">
        <v>0</v>
      </c>
      <c r="G16" s="170" t="s">
        <v>1671</v>
      </c>
      <c r="H16" s="171"/>
      <c r="I16" s="54" t="s">
        <v>1567</v>
      </c>
      <c r="J16" s="3"/>
    </row>
    <row r="17" spans="1:10" ht="15" customHeight="1">
      <c r="A17" s="47"/>
      <c r="B17" s="50" t="s">
        <v>1550</v>
      </c>
      <c r="C17" s="53">
        <f>SUMIF('Stavební rozpočet'!AI12:AI1161,"SO-01",'Stavební rozpočet'!AE12:AE1161)</f>
        <v>0</v>
      </c>
      <c r="D17" s="170"/>
      <c r="E17" s="171"/>
      <c r="F17" s="54"/>
      <c r="G17" s="170" t="s">
        <v>1672</v>
      </c>
      <c r="H17" s="171"/>
      <c r="I17" s="54" t="s">
        <v>1567</v>
      </c>
      <c r="J17" s="3"/>
    </row>
    <row r="18" spans="1:10" ht="15" customHeight="1">
      <c r="A18" s="46" t="s">
        <v>1647</v>
      </c>
      <c r="B18" s="50" t="s">
        <v>1656</v>
      </c>
      <c r="C18" s="53">
        <f>SUMIF('Stavební rozpočet'!AI12:AI1161,"SO-01",'Stavební rozpočet'!AF12:AF1161)</f>
        <v>0</v>
      </c>
      <c r="D18" s="170"/>
      <c r="E18" s="171"/>
      <c r="F18" s="54"/>
      <c r="G18" s="170" t="s">
        <v>1673</v>
      </c>
      <c r="H18" s="171"/>
      <c r="I18" s="54" t="s">
        <v>1567</v>
      </c>
      <c r="J18" s="3"/>
    </row>
    <row r="19" spans="1:10" ht="15" customHeight="1">
      <c r="A19" s="47"/>
      <c r="B19" s="50" t="s">
        <v>1550</v>
      </c>
      <c r="C19" s="53">
        <f>SUMIF('Stavební rozpočet'!AI12:AI1161,"SO-01",'Stavební rozpočet'!AG12:AG1161)</f>
        <v>0</v>
      </c>
      <c r="D19" s="170"/>
      <c r="E19" s="171"/>
      <c r="F19" s="54"/>
      <c r="G19" s="170" t="s">
        <v>1674</v>
      </c>
      <c r="H19" s="171"/>
      <c r="I19" s="54" t="s">
        <v>1567</v>
      </c>
      <c r="J19" s="3"/>
    </row>
    <row r="20" spans="1:10" ht="15" customHeight="1">
      <c r="A20" s="172" t="s">
        <v>1312</v>
      </c>
      <c r="B20" s="173"/>
      <c r="C20" s="53">
        <f>SUMIF('Stavební rozpočet'!AI12:AI1161,"SO-01",'Stavební rozpočet'!AH12:AH1161)</f>
        <v>0</v>
      </c>
      <c r="D20" s="170"/>
      <c r="E20" s="171"/>
      <c r="F20" s="54"/>
      <c r="G20" s="170"/>
      <c r="H20" s="171"/>
      <c r="I20" s="54"/>
      <c r="J20" s="3"/>
    </row>
    <row r="21" spans="1:10" ht="15" customHeight="1">
      <c r="A21" s="172" t="s">
        <v>1648</v>
      </c>
      <c r="B21" s="173"/>
      <c r="C21" s="53">
        <f>SUMIF('Stavební rozpočet'!AI12:AI1161,"SO-01",'Stavební rozpočet'!Z12:Z1161)</f>
        <v>0</v>
      </c>
      <c r="D21" s="170"/>
      <c r="E21" s="171"/>
      <c r="F21" s="54"/>
      <c r="G21" s="170"/>
      <c r="H21" s="171"/>
      <c r="I21" s="54"/>
      <c r="J21" s="3"/>
    </row>
    <row r="22" spans="1:10" ht="16.5" customHeight="1">
      <c r="A22" s="172" t="s">
        <v>1649</v>
      </c>
      <c r="B22" s="173"/>
      <c r="C22" s="53">
        <f>SUM(C14:C21)</f>
        <v>0</v>
      </c>
      <c r="D22" s="172" t="s">
        <v>1662</v>
      </c>
      <c r="E22" s="173"/>
      <c r="F22" s="53">
        <f>SUM(F14:F21)</f>
        <v>0</v>
      </c>
      <c r="G22" s="172" t="s">
        <v>1675</v>
      </c>
      <c r="H22" s="173"/>
      <c r="I22" s="53">
        <f>SUM(I14:I21)</f>
        <v>0</v>
      </c>
      <c r="J22" s="3"/>
    </row>
    <row r="23" spans="1:9" ht="15" customHeight="1">
      <c r="A23" s="6"/>
      <c r="B23" s="6"/>
      <c r="C23" s="6"/>
      <c r="D23" s="6"/>
      <c r="E23" s="6"/>
      <c r="F23" s="52"/>
      <c r="G23" s="172" t="s">
        <v>1677</v>
      </c>
      <c r="H23" s="173"/>
      <c r="I23" s="57"/>
    </row>
    <row r="24" spans="1:8" ht="12.75">
      <c r="A24" s="11"/>
      <c r="B24" s="11"/>
      <c r="C24" s="11"/>
      <c r="G24" s="6"/>
      <c r="H24" s="6"/>
    </row>
    <row r="25" spans="1:9" ht="15" customHeight="1">
      <c r="A25" s="174" t="s">
        <v>1650</v>
      </c>
      <c r="B25" s="175"/>
      <c r="C25" s="56">
        <f>('Stavební rozpočet'!AS13+'Stavební rozpočet'!AS16+'Stavební rozpočet'!AS25+'Stavební rozpočet'!AS33+'Stavební rozpočet'!AS40+'Stavební rozpočet'!AS48+'Stavební rozpočet'!AS53+'Stavební rozpočet'!AS63+'Stavební rozpočet'!AS67+'Stavební rozpočet'!AS70+'Stavební rozpočet'!AS76+'Stavební rozpočet'!AS89+'Stavební rozpočet'!AS107+'Stavební rozpočet'!AS130+'Stavební rozpočet'!AS138+'Stavební rozpočet'!AS277+'Stavební rozpočet'!AS301+'Stavební rozpočet'!AS315+'Stavební rozpočet'!AS345+'Stavební rozpočet'!AS417+'Stavební rozpočet'!AS428+'Stavební rozpočet'!AS434+'Stavební rozpočet'!AS450+'Stavební rozpočet'!AS460+'Stavební rozpočet'!AS526+'Stavební rozpočet'!AS546+'Stavební rozpočet'!AS657+'Stavební rozpočet'!AS707+'Stavební rozpočet'!AS816+'Stavební rozpočet'!AS846+'Stavební rozpočet'!AS890+'Stavební rozpočet'!AS899+'Stavební rozpočet'!AS905+'Stavební rozpočet'!AS916+'Stavební rozpočet'!AS926+'Stavební rozpočet'!AS950+'Stavební rozpočet'!AS968+'Stavební rozpočet'!AS973+'Stavební rozpočet'!AS1037+'Stavební rozpočet'!AS1047+'Stavební rozpočet'!AS1102+'Stavební rozpočet'!AS1115+'Stavební rozpočet'!AS1129+'Stavební rozpočet'!AS1145)</f>
        <v>0</v>
      </c>
      <c r="D25" s="5"/>
      <c r="E25" s="11"/>
      <c r="F25" s="11"/>
      <c r="G25" s="11"/>
      <c r="H25" s="11"/>
      <c r="I25" s="11"/>
    </row>
    <row r="26" spans="1:10" ht="15" customHeight="1">
      <c r="A26" s="174" t="s">
        <v>1651</v>
      </c>
      <c r="B26" s="175"/>
      <c r="C26" s="56">
        <f>('Stavební rozpočet'!AT13+'Stavební rozpočet'!AT16+'Stavební rozpočet'!AT25+'Stavební rozpočet'!AT33+'Stavební rozpočet'!AT40+'Stavební rozpočet'!AT48+'Stavební rozpočet'!AT53+'Stavební rozpočet'!AT63+'Stavební rozpočet'!AT67+'Stavební rozpočet'!AT70+'Stavební rozpočet'!AT76+'Stavební rozpočet'!AT89+'Stavební rozpočet'!AT107+'Stavební rozpočet'!AT130+'Stavební rozpočet'!AT138+'Stavební rozpočet'!AT277+'Stavební rozpočet'!AT301+'Stavební rozpočet'!AT315+'Stavební rozpočet'!AT345+'Stavební rozpočet'!AT417+'Stavební rozpočet'!AT428+'Stavební rozpočet'!AT434+'Stavební rozpočet'!AT450+'Stavební rozpočet'!AT460+'Stavební rozpočet'!AT526+'Stavební rozpočet'!AT546+'Stavební rozpočet'!AT657+'Stavební rozpočet'!AT707+'Stavební rozpočet'!AT816+'Stavební rozpočet'!AT846+'Stavební rozpočet'!AT890+'Stavební rozpočet'!AT899+'Stavební rozpočet'!AT905+'Stavební rozpočet'!AT916+'Stavební rozpočet'!AT926+'Stavební rozpočet'!AT950+'Stavební rozpočet'!AT968+'Stavební rozpočet'!AT973+'Stavební rozpočet'!AT1037+'Stavební rozpočet'!AT1047+'Stavební rozpočet'!AT1102+'Stavební rozpočet'!AT1115+'Stavební rozpočet'!AT1129+'Stavební rozpočet'!AT1145)+(F22+I22+F23+I23+I24)</f>
        <v>0</v>
      </c>
      <c r="D26" s="174" t="s">
        <v>1664</v>
      </c>
      <c r="E26" s="175"/>
      <c r="F26" s="56">
        <f>ROUND(C26*(15/100),2)</f>
        <v>0</v>
      </c>
      <c r="G26" s="174" t="s">
        <v>1679</v>
      </c>
      <c r="H26" s="175"/>
      <c r="I26" s="56">
        <f>SUM(C25:C27)</f>
        <v>0</v>
      </c>
      <c r="J26" s="3"/>
    </row>
    <row r="27" spans="1:10" ht="15" customHeight="1">
      <c r="A27" s="174" t="s">
        <v>1652</v>
      </c>
      <c r="B27" s="175"/>
      <c r="C27" s="56">
        <f>('Stavební rozpočet'!AU13+'Stavební rozpočet'!AU16+'Stavební rozpočet'!AU25+'Stavební rozpočet'!AU33+'Stavební rozpočet'!AU40+'Stavební rozpočet'!AU48+'Stavební rozpočet'!AU53+'Stavební rozpočet'!AU63+'Stavební rozpočet'!AU67+'Stavební rozpočet'!AU70+'Stavební rozpočet'!AU76+'Stavební rozpočet'!AU89+'Stavební rozpočet'!AU107+'Stavební rozpočet'!AU130+'Stavební rozpočet'!AU138+'Stavební rozpočet'!AU277+'Stavební rozpočet'!AU301+'Stavební rozpočet'!AU315+'Stavební rozpočet'!AU345+'Stavební rozpočet'!AU417+'Stavební rozpočet'!AU428+'Stavební rozpočet'!AU434+'Stavební rozpočet'!AU450+'Stavební rozpočet'!AU460+'Stavební rozpočet'!AU526+'Stavební rozpočet'!AU546+'Stavební rozpočet'!AU657+'Stavební rozpočet'!AU707+'Stavební rozpočet'!AU816+'Stavební rozpočet'!AU846+'Stavební rozpočet'!AU890+'Stavební rozpočet'!AU899+'Stavební rozpočet'!AU905+'Stavební rozpočet'!AU916+'Stavební rozpočet'!AU926+'Stavební rozpočet'!AU950+'Stavební rozpočet'!AU968+'Stavební rozpočet'!AU973+'Stavební rozpočet'!AU1037+'Stavební rozpočet'!AU1047+'Stavební rozpočet'!AU1102+'Stavební rozpočet'!AU1115+'Stavební rozpočet'!AU1129+'Stavební rozpočet'!AU1145)</f>
        <v>0</v>
      </c>
      <c r="D27" s="174" t="s">
        <v>1665</v>
      </c>
      <c r="E27" s="175"/>
      <c r="F27" s="56">
        <f>ROUND(C27*(21/100),2)</f>
        <v>0</v>
      </c>
      <c r="G27" s="174" t="s">
        <v>1680</v>
      </c>
      <c r="H27" s="175"/>
      <c r="I27" s="56">
        <f>SUM(F26:F27)+I26</f>
        <v>0</v>
      </c>
      <c r="J27" s="3"/>
    </row>
    <row r="28" spans="1:9" ht="12.75">
      <c r="A28" s="48"/>
      <c r="B28" s="48"/>
      <c r="C28" s="48"/>
      <c r="D28" s="48"/>
      <c r="E28" s="48"/>
      <c r="F28" s="48"/>
      <c r="G28" s="48"/>
      <c r="H28" s="48"/>
      <c r="I28" s="48"/>
    </row>
    <row r="29" spans="1:10" ht="14.25" customHeight="1">
      <c r="A29" s="176" t="s">
        <v>1653</v>
      </c>
      <c r="B29" s="177"/>
      <c r="C29" s="178"/>
      <c r="D29" s="176" t="s">
        <v>1666</v>
      </c>
      <c r="E29" s="177"/>
      <c r="F29" s="178"/>
      <c r="G29" s="176" t="s">
        <v>1681</v>
      </c>
      <c r="H29" s="177"/>
      <c r="I29" s="178"/>
      <c r="J29" s="26"/>
    </row>
    <row r="30" spans="1:10" ht="14.25" customHeight="1">
      <c r="A30" s="179"/>
      <c r="B30" s="180"/>
      <c r="C30" s="181"/>
      <c r="D30" s="179"/>
      <c r="E30" s="180"/>
      <c r="F30" s="181"/>
      <c r="G30" s="179"/>
      <c r="H30" s="180"/>
      <c r="I30" s="181"/>
      <c r="J30" s="26"/>
    </row>
    <row r="31" spans="1:10" ht="14.25" customHeight="1">
      <c r="A31" s="179"/>
      <c r="B31" s="180"/>
      <c r="C31" s="181"/>
      <c r="D31" s="179"/>
      <c r="E31" s="180"/>
      <c r="F31" s="181"/>
      <c r="G31" s="179"/>
      <c r="H31" s="180"/>
      <c r="I31" s="181"/>
      <c r="J31" s="26"/>
    </row>
    <row r="32" spans="1:10" ht="14.25" customHeight="1">
      <c r="A32" s="179"/>
      <c r="B32" s="180"/>
      <c r="C32" s="181"/>
      <c r="D32" s="179"/>
      <c r="E32" s="180"/>
      <c r="F32" s="181"/>
      <c r="G32" s="179"/>
      <c r="H32" s="180"/>
      <c r="I32" s="181"/>
      <c r="J32" s="26"/>
    </row>
    <row r="33" spans="1:10" ht="14.25" customHeight="1">
      <c r="A33" s="182" t="s">
        <v>1654</v>
      </c>
      <c r="B33" s="183"/>
      <c r="C33" s="184"/>
      <c r="D33" s="182" t="s">
        <v>1654</v>
      </c>
      <c r="E33" s="183"/>
      <c r="F33" s="184"/>
      <c r="G33" s="182" t="s">
        <v>1654</v>
      </c>
      <c r="H33" s="183"/>
      <c r="I33" s="184"/>
      <c r="J33" s="26"/>
    </row>
    <row r="34" spans="1:9" ht="11.25" customHeight="1">
      <c r="A34" s="49" t="s">
        <v>281</v>
      </c>
      <c r="B34" s="51"/>
      <c r="C34" s="51"/>
      <c r="D34" s="51"/>
      <c r="E34" s="51"/>
      <c r="F34" s="51"/>
      <c r="G34" s="51"/>
      <c r="H34" s="51"/>
      <c r="I34" s="51"/>
    </row>
    <row r="35" spans="1:9" ht="12.75">
      <c r="A35" s="113"/>
      <c r="B35" s="105"/>
      <c r="C35" s="105"/>
      <c r="D35" s="105"/>
      <c r="E35" s="105"/>
      <c r="F35" s="105"/>
      <c r="G35" s="105"/>
      <c r="H35" s="105"/>
      <c r="I35" s="105"/>
    </row>
  </sheetData>
  <sheetProtection/>
  <mergeCells count="80">
    <mergeCell ref="A33:C33"/>
    <mergeCell ref="D33:F33"/>
    <mergeCell ref="G33:I33"/>
    <mergeCell ref="A35:I35"/>
    <mergeCell ref="A31:C31"/>
    <mergeCell ref="D31:F31"/>
    <mergeCell ref="G31:I31"/>
    <mergeCell ref="A32:C32"/>
    <mergeCell ref="D32:F32"/>
    <mergeCell ref="G32:I32"/>
    <mergeCell ref="A29:C29"/>
    <mergeCell ref="D29:F29"/>
    <mergeCell ref="G29:I29"/>
    <mergeCell ref="A30:C30"/>
    <mergeCell ref="D30:F30"/>
    <mergeCell ref="G30:I30"/>
    <mergeCell ref="G23:H23"/>
    <mergeCell ref="A25:B25"/>
    <mergeCell ref="A26:B26"/>
    <mergeCell ref="D26:E26"/>
    <mergeCell ref="G26:H26"/>
    <mergeCell ref="A27:B27"/>
    <mergeCell ref="D27:E27"/>
    <mergeCell ref="G27:H27"/>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11"/>
      <c r="C1" s="160" t="s">
        <v>1688</v>
      </c>
      <c r="D1" s="101"/>
      <c r="E1" s="101"/>
      <c r="F1" s="101"/>
      <c r="G1" s="101"/>
      <c r="H1" s="101"/>
      <c r="I1" s="101"/>
    </row>
    <row r="2" spans="1:10" ht="12.75">
      <c r="A2" s="102" t="s">
        <v>1</v>
      </c>
      <c r="B2" s="103"/>
      <c r="C2" s="106" t="str">
        <f>'Stavební rozpočet'!D2</f>
        <v>Revitalizace BD Nádražní 7, 9 v Mikulově</v>
      </c>
      <c r="D2" s="161"/>
      <c r="E2" s="109" t="s">
        <v>1328</v>
      </c>
      <c r="F2" s="109" t="str">
        <f>'Stavební rozpočet'!H2</f>
        <v> </v>
      </c>
      <c r="G2" s="103"/>
      <c r="H2" s="109" t="s">
        <v>1682</v>
      </c>
      <c r="I2" s="162"/>
      <c r="J2" s="3"/>
    </row>
    <row r="3" spans="1:10" ht="12.75">
      <c r="A3" s="104"/>
      <c r="B3" s="105"/>
      <c r="C3" s="107"/>
      <c r="D3" s="107"/>
      <c r="E3" s="105"/>
      <c r="F3" s="105"/>
      <c r="G3" s="105"/>
      <c r="H3" s="105"/>
      <c r="I3" s="111"/>
      <c r="J3" s="3"/>
    </row>
    <row r="4" spans="1:10" ht="12.75">
      <c r="A4" s="112" t="s">
        <v>2</v>
      </c>
      <c r="B4" s="105"/>
      <c r="C4" s="113" t="str">
        <f>'Stavební rozpočet'!D4</f>
        <v>bytový dům</v>
      </c>
      <c r="D4" s="105"/>
      <c r="E4" s="113" t="s">
        <v>1329</v>
      </c>
      <c r="F4" s="113" t="str">
        <f>'Stavební rozpočet'!H4</f>
        <v>Tomáš Sýkora</v>
      </c>
      <c r="G4" s="105"/>
      <c r="H4" s="113" t="s">
        <v>1682</v>
      </c>
      <c r="I4" s="163" t="s">
        <v>1686</v>
      </c>
      <c r="J4" s="3"/>
    </row>
    <row r="5" spans="1:10" ht="12.75">
      <c r="A5" s="104"/>
      <c r="B5" s="105"/>
      <c r="C5" s="105"/>
      <c r="D5" s="105"/>
      <c r="E5" s="105"/>
      <c r="F5" s="105"/>
      <c r="G5" s="105"/>
      <c r="H5" s="105"/>
      <c r="I5" s="111"/>
      <c r="J5" s="3"/>
    </row>
    <row r="6" spans="1:10" ht="12.75">
      <c r="A6" s="112" t="s">
        <v>3</v>
      </c>
      <c r="B6" s="105"/>
      <c r="C6" s="113" t="str">
        <f>'Stavební rozpočet'!D6</f>
        <v>Parcela č. 1948/1, 1949, k.ú.  Mikulov na Moravě [694193]</v>
      </c>
      <c r="D6" s="105"/>
      <c r="E6" s="113" t="s">
        <v>1330</v>
      </c>
      <c r="F6" s="113" t="str">
        <f>'Stavební rozpočet'!H6</f>
        <v> </v>
      </c>
      <c r="G6" s="105"/>
      <c r="H6" s="113" t="s">
        <v>1682</v>
      </c>
      <c r="I6" s="163"/>
      <c r="J6" s="3"/>
    </row>
    <row r="7" spans="1:10" ht="12.75">
      <c r="A7" s="104"/>
      <c r="B7" s="105"/>
      <c r="C7" s="105"/>
      <c r="D7" s="105"/>
      <c r="E7" s="105"/>
      <c r="F7" s="105"/>
      <c r="G7" s="105"/>
      <c r="H7" s="105"/>
      <c r="I7" s="111"/>
      <c r="J7" s="3"/>
    </row>
    <row r="8" spans="1:10" ht="12.75">
      <c r="A8" s="112" t="s">
        <v>1324</v>
      </c>
      <c r="B8" s="105"/>
      <c r="C8" s="113" t="str">
        <f>'Stavební rozpočet'!F4</f>
        <v> </v>
      </c>
      <c r="D8" s="105"/>
      <c r="E8" s="113" t="s">
        <v>1325</v>
      </c>
      <c r="F8" s="113" t="str">
        <f>'Stavební rozpočet'!F6</f>
        <v> </v>
      </c>
      <c r="G8" s="105"/>
      <c r="H8" s="114" t="s">
        <v>1683</v>
      </c>
      <c r="I8" s="163" t="s">
        <v>10</v>
      </c>
      <c r="J8" s="3"/>
    </row>
    <row r="9" spans="1:10" ht="12.75">
      <c r="A9" s="104"/>
      <c r="B9" s="105"/>
      <c r="C9" s="105"/>
      <c r="D9" s="105"/>
      <c r="E9" s="105"/>
      <c r="F9" s="105"/>
      <c r="G9" s="105"/>
      <c r="H9" s="105"/>
      <c r="I9" s="111"/>
      <c r="J9" s="3"/>
    </row>
    <row r="10" spans="1:10" ht="12.75">
      <c r="A10" s="112" t="s">
        <v>4</v>
      </c>
      <c r="B10" s="105"/>
      <c r="C10" s="113">
        <f>'Stavební rozpočet'!D8</f>
        <v>8035213</v>
      </c>
      <c r="D10" s="105"/>
      <c r="E10" s="113" t="s">
        <v>1331</v>
      </c>
      <c r="F10" s="113" t="str">
        <f>'Stavební rozpočet'!H8</f>
        <v> </v>
      </c>
      <c r="G10" s="105"/>
      <c r="H10" s="114" t="s">
        <v>1684</v>
      </c>
      <c r="I10" s="157" t="str">
        <f>'Stavební rozpočet'!F8</f>
        <v>21.10.2020</v>
      </c>
      <c r="J10" s="3"/>
    </row>
    <row r="11" spans="1:10" ht="12.75">
      <c r="A11" s="164"/>
      <c r="B11" s="158"/>
      <c r="C11" s="158"/>
      <c r="D11" s="158"/>
      <c r="E11" s="158"/>
      <c r="F11" s="158"/>
      <c r="G11" s="158"/>
      <c r="H11" s="158"/>
      <c r="I11" s="165"/>
      <c r="J11" s="3"/>
    </row>
    <row r="12" spans="1:9" ht="23.25" customHeight="1">
      <c r="A12" s="166" t="s">
        <v>1643</v>
      </c>
      <c r="B12" s="167"/>
      <c r="C12" s="167"/>
      <c r="D12" s="167"/>
      <c r="E12" s="167"/>
      <c r="F12" s="167"/>
      <c r="G12" s="167"/>
      <c r="H12" s="167"/>
      <c r="I12" s="167"/>
    </row>
    <row r="13" spans="1:10" ht="26.25" customHeight="1">
      <c r="A13" s="45" t="s">
        <v>1644</v>
      </c>
      <c r="B13" s="168" t="s">
        <v>1655</v>
      </c>
      <c r="C13" s="169"/>
      <c r="D13" s="45" t="s">
        <v>1658</v>
      </c>
      <c r="E13" s="168" t="s">
        <v>1667</v>
      </c>
      <c r="F13" s="169"/>
      <c r="G13" s="45" t="s">
        <v>1668</v>
      </c>
      <c r="H13" s="168" t="s">
        <v>1685</v>
      </c>
      <c r="I13" s="169"/>
      <c r="J13" s="3"/>
    </row>
    <row r="14" spans="1:10" ht="15" customHeight="1">
      <c r="A14" s="46" t="s">
        <v>1645</v>
      </c>
      <c r="B14" s="50" t="s">
        <v>1656</v>
      </c>
      <c r="C14" s="53">
        <f>SUMIF('Stavební rozpočet'!AI12:AI1161,"SO-02",'Stavební rozpočet'!AB12:AB1161)</f>
        <v>0</v>
      </c>
      <c r="D14" s="170" t="s">
        <v>1659</v>
      </c>
      <c r="E14" s="171"/>
      <c r="F14" s="53">
        <v>0</v>
      </c>
      <c r="G14" s="170" t="s">
        <v>1669</v>
      </c>
      <c r="H14" s="171"/>
      <c r="I14" s="54" t="s">
        <v>1567</v>
      </c>
      <c r="J14" s="3"/>
    </row>
    <row r="15" spans="1:10" ht="15" customHeight="1">
      <c r="A15" s="47"/>
      <c r="B15" s="50" t="s">
        <v>1550</v>
      </c>
      <c r="C15" s="53">
        <f>SUMIF('Stavební rozpočet'!AI12:AI1161,"SO-02",'Stavební rozpočet'!AC12:AC1161)</f>
        <v>0</v>
      </c>
      <c r="D15" s="170" t="s">
        <v>1660</v>
      </c>
      <c r="E15" s="171"/>
      <c r="F15" s="53">
        <v>0</v>
      </c>
      <c r="G15" s="170" t="s">
        <v>1670</v>
      </c>
      <c r="H15" s="171"/>
      <c r="I15" s="54" t="s">
        <v>1567</v>
      </c>
      <c r="J15" s="3"/>
    </row>
    <row r="16" spans="1:10" ht="15" customHeight="1">
      <c r="A16" s="46" t="s">
        <v>1646</v>
      </c>
      <c r="B16" s="50" t="s">
        <v>1656</v>
      </c>
      <c r="C16" s="53">
        <f>SUMIF('Stavební rozpočet'!AI12:AI1161,"SO-02",'Stavební rozpočet'!AD12:AD1161)</f>
        <v>0</v>
      </c>
      <c r="D16" s="170" t="s">
        <v>1661</v>
      </c>
      <c r="E16" s="171"/>
      <c r="F16" s="53">
        <v>0</v>
      </c>
      <c r="G16" s="170" t="s">
        <v>1671</v>
      </c>
      <c r="H16" s="171"/>
      <c r="I16" s="54" t="s">
        <v>1567</v>
      </c>
      <c r="J16" s="3"/>
    </row>
    <row r="17" spans="1:10" ht="15" customHeight="1">
      <c r="A17" s="47"/>
      <c r="B17" s="50" t="s">
        <v>1550</v>
      </c>
      <c r="C17" s="53">
        <f>SUMIF('Stavební rozpočet'!AI12:AI1161,"SO-02",'Stavební rozpočet'!AE12:AE1161)</f>
        <v>0</v>
      </c>
      <c r="D17" s="170"/>
      <c r="E17" s="171"/>
      <c r="F17" s="54"/>
      <c r="G17" s="170" t="s">
        <v>1672</v>
      </c>
      <c r="H17" s="171"/>
      <c r="I17" s="54" t="s">
        <v>1567</v>
      </c>
      <c r="J17" s="3"/>
    </row>
    <row r="18" spans="1:10" ht="15" customHeight="1">
      <c r="A18" s="46" t="s">
        <v>1647</v>
      </c>
      <c r="B18" s="50" t="s">
        <v>1656</v>
      </c>
      <c r="C18" s="53">
        <f>SUMIF('Stavební rozpočet'!AI12:AI1161,"SO-02",'Stavební rozpočet'!AF12:AF1161)</f>
        <v>0</v>
      </c>
      <c r="D18" s="170"/>
      <c r="E18" s="171"/>
      <c r="F18" s="54"/>
      <c r="G18" s="170" t="s">
        <v>1673</v>
      </c>
      <c r="H18" s="171"/>
      <c r="I18" s="54" t="s">
        <v>1567</v>
      </c>
      <c r="J18" s="3"/>
    </row>
    <row r="19" spans="1:10" ht="15" customHeight="1">
      <c r="A19" s="47"/>
      <c r="B19" s="50" t="s">
        <v>1550</v>
      </c>
      <c r="C19" s="53">
        <f>SUMIF('Stavební rozpočet'!AI12:AI1161,"SO-02",'Stavební rozpočet'!AG12:AG1161)</f>
        <v>0</v>
      </c>
      <c r="D19" s="170"/>
      <c r="E19" s="171"/>
      <c r="F19" s="54"/>
      <c r="G19" s="170" t="s">
        <v>1674</v>
      </c>
      <c r="H19" s="171"/>
      <c r="I19" s="54" t="s">
        <v>1567</v>
      </c>
      <c r="J19" s="3"/>
    </row>
    <row r="20" spans="1:10" ht="15" customHeight="1">
      <c r="A20" s="172" t="s">
        <v>1312</v>
      </c>
      <c r="B20" s="173"/>
      <c r="C20" s="53">
        <f>SUMIF('Stavební rozpočet'!AI12:AI1161,"SO-02",'Stavební rozpočet'!AH12:AH1161)</f>
        <v>0</v>
      </c>
      <c r="D20" s="170"/>
      <c r="E20" s="171"/>
      <c r="F20" s="54"/>
      <c r="G20" s="170"/>
      <c r="H20" s="171"/>
      <c r="I20" s="54"/>
      <c r="J20" s="3"/>
    </row>
    <row r="21" spans="1:10" ht="15" customHeight="1">
      <c r="A21" s="172" t="s">
        <v>1648</v>
      </c>
      <c r="B21" s="173"/>
      <c r="C21" s="53">
        <f>SUMIF('Stavební rozpočet'!AI12:AI1161,"SO-02",'Stavební rozpočet'!Z12:Z1161)</f>
        <v>0</v>
      </c>
      <c r="D21" s="170"/>
      <c r="E21" s="171"/>
      <c r="F21" s="54"/>
      <c r="G21" s="170"/>
      <c r="H21" s="171"/>
      <c r="I21" s="54"/>
      <c r="J21" s="3"/>
    </row>
    <row r="22" spans="1:10" ht="16.5" customHeight="1">
      <c r="A22" s="172" t="s">
        <v>1649</v>
      </c>
      <c r="B22" s="173"/>
      <c r="C22" s="53">
        <f>SUM(C14:C21)</f>
        <v>0</v>
      </c>
      <c r="D22" s="172" t="s">
        <v>1662</v>
      </c>
      <c r="E22" s="173"/>
      <c r="F22" s="53">
        <f>SUM(F14:F21)</f>
        <v>0</v>
      </c>
      <c r="G22" s="172" t="s">
        <v>1675</v>
      </c>
      <c r="H22" s="173"/>
      <c r="I22" s="53">
        <f>SUM(I14:I21)</f>
        <v>0</v>
      </c>
      <c r="J22" s="3"/>
    </row>
    <row r="23" spans="1:9" ht="15" customHeight="1">
      <c r="A23" s="6"/>
      <c r="B23" s="6"/>
      <c r="C23" s="6"/>
      <c r="D23" s="6"/>
      <c r="E23" s="6"/>
      <c r="F23" s="52"/>
      <c r="G23" s="172" t="s">
        <v>1677</v>
      </c>
      <c r="H23" s="173"/>
      <c r="I23" s="57"/>
    </row>
    <row r="24" spans="1:8" ht="12.75">
      <c r="A24" s="11"/>
      <c r="B24" s="11"/>
      <c r="C24" s="11"/>
      <c r="G24" s="6"/>
      <c r="H24" s="6"/>
    </row>
    <row r="25" spans="1:9" ht="15" customHeight="1">
      <c r="A25" s="174" t="s">
        <v>1650</v>
      </c>
      <c r="B25" s="175"/>
      <c r="C25" s="56">
        <f>('Stavební rozpočet'!AS1151+'Stavební rozpočet'!AS1156)</f>
        <v>0</v>
      </c>
      <c r="D25" s="5"/>
      <c r="E25" s="11"/>
      <c r="F25" s="11"/>
      <c r="G25" s="11"/>
      <c r="H25" s="11"/>
      <c r="I25" s="11"/>
    </row>
    <row r="26" spans="1:10" ht="15" customHeight="1">
      <c r="A26" s="174" t="s">
        <v>1651</v>
      </c>
      <c r="B26" s="175"/>
      <c r="C26" s="56">
        <f>('Stavební rozpočet'!AT1151+'Stavební rozpočet'!AT1156)+(F22+I22+F23+I23+I24)</f>
        <v>0</v>
      </c>
      <c r="D26" s="174" t="s">
        <v>1664</v>
      </c>
      <c r="E26" s="175"/>
      <c r="F26" s="56">
        <f>ROUND(C26*(15/100),2)</f>
        <v>0</v>
      </c>
      <c r="G26" s="174" t="s">
        <v>1679</v>
      </c>
      <c r="H26" s="175"/>
      <c r="I26" s="56">
        <f>SUM(C25:C27)</f>
        <v>0</v>
      </c>
      <c r="J26" s="3"/>
    </row>
    <row r="27" spans="1:10" ht="15" customHeight="1">
      <c r="A27" s="174" t="s">
        <v>1652</v>
      </c>
      <c r="B27" s="175"/>
      <c r="C27" s="56">
        <f>('Stavební rozpočet'!AU1151+'Stavební rozpočet'!AU1156)</f>
        <v>0</v>
      </c>
      <c r="D27" s="174" t="s">
        <v>1665</v>
      </c>
      <c r="E27" s="175"/>
      <c r="F27" s="56">
        <f>ROUND(C27*(21/100),2)</f>
        <v>0</v>
      </c>
      <c r="G27" s="174" t="s">
        <v>1680</v>
      </c>
      <c r="H27" s="175"/>
      <c r="I27" s="56">
        <f>SUM(F26:F27)+I26</f>
        <v>0</v>
      </c>
      <c r="J27" s="3"/>
    </row>
    <row r="28" spans="1:9" ht="12.75">
      <c r="A28" s="48"/>
      <c r="B28" s="48"/>
      <c r="C28" s="48"/>
      <c r="D28" s="48"/>
      <c r="E28" s="48"/>
      <c r="F28" s="48"/>
      <c r="G28" s="48"/>
      <c r="H28" s="48"/>
      <c r="I28" s="48"/>
    </row>
    <row r="29" spans="1:10" ht="14.25" customHeight="1">
      <c r="A29" s="176" t="s">
        <v>1653</v>
      </c>
      <c r="B29" s="177"/>
      <c r="C29" s="178"/>
      <c r="D29" s="176" t="s">
        <v>1666</v>
      </c>
      <c r="E29" s="177"/>
      <c r="F29" s="178"/>
      <c r="G29" s="176" t="s">
        <v>1681</v>
      </c>
      <c r="H29" s="177"/>
      <c r="I29" s="178"/>
      <c r="J29" s="26"/>
    </row>
    <row r="30" spans="1:10" ht="14.25" customHeight="1">
      <c r="A30" s="179"/>
      <c r="B30" s="180"/>
      <c r="C30" s="181"/>
      <c r="D30" s="179"/>
      <c r="E30" s="180"/>
      <c r="F30" s="181"/>
      <c r="G30" s="179"/>
      <c r="H30" s="180"/>
      <c r="I30" s="181"/>
      <c r="J30" s="26"/>
    </row>
    <row r="31" spans="1:10" ht="14.25" customHeight="1">
      <c r="A31" s="179"/>
      <c r="B31" s="180"/>
      <c r="C31" s="181"/>
      <c r="D31" s="179"/>
      <c r="E31" s="180"/>
      <c r="F31" s="181"/>
      <c r="G31" s="179"/>
      <c r="H31" s="180"/>
      <c r="I31" s="181"/>
      <c r="J31" s="26"/>
    </row>
    <row r="32" spans="1:10" ht="14.25" customHeight="1">
      <c r="A32" s="179"/>
      <c r="B32" s="180"/>
      <c r="C32" s="181"/>
      <c r="D32" s="179"/>
      <c r="E32" s="180"/>
      <c r="F32" s="181"/>
      <c r="G32" s="179"/>
      <c r="H32" s="180"/>
      <c r="I32" s="181"/>
      <c r="J32" s="26"/>
    </row>
    <row r="33" spans="1:10" ht="14.25" customHeight="1">
      <c r="A33" s="182" t="s">
        <v>1654</v>
      </c>
      <c r="B33" s="183"/>
      <c r="C33" s="184"/>
      <c r="D33" s="182" t="s">
        <v>1654</v>
      </c>
      <c r="E33" s="183"/>
      <c r="F33" s="184"/>
      <c r="G33" s="182" t="s">
        <v>1654</v>
      </c>
      <c r="H33" s="183"/>
      <c r="I33" s="184"/>
      <c r="J33" s="26"/>
    </row>
    <row r="34" spans="1:9" ht="11.25" customHeight="1">
      <c r="A34" s="49" t="s">
        <v>281</v>
      </c>
      <c r="B34" s="51"/>
      <c r="C34" s="51"/>
      <c r="D34" s="51"/>
      <c r="E34" s="51"/>
      <c r="F34" s="51"/>
      <c r="G34" s="51"/>
      <c r="H34" s="51"/>
      <c r="I34" s="51"/>
    </row>
    <row r="35" spans="1:9" ht="12.75">
      <c r="A35" s="113"/>
      <c r="B35" s="105"/>
      <c r="C35" s="105"/>
      <c r="D35" s="105"/>
      <c r="E35" s="105"/>
      <c r="F35" s="105"/>
      <c r="G35" s="105"/>
      <c r="H35" s="105"/>
      <c r="I35" s="105"/>
    </row>
  </sheetData>
  <sheetProtection/>
  <mergeCells count="80">
    <mergeCell ref="A33:C33"/>
    <mergeCell ref="D33:F33"/>
    <mergeCell ref="G33:I33"/>
    <mergeCell ref="A35:I35"/>
    <mergeCell ref="A31:C31"/>
    <mergeCell ref="D31:F31"/>
    <mergeCell ref="G31:I31"/>
    <mergeCell ref="A32:C32"/>
    <mergeCell ref="D32:F32"/>
    <mergeCell ref="G32:I32"/>
    <mergeCell ref="A29:C29"/>
    <mergeCell ref="D29:F29"/>
    <mergeCell ref="G29:I29"/>
    <mergeCell ref="A30:C30"/>
    <mergeCell ref="D30:F30"/>
    <mergeCell ref="G30:I30"/>
    <mergeCell ref="G23:H23"/>
    <mergeCell ref="A25:B25"/>
    <mergeCell ref="A26:B26"/>
    <mergeCell ref="D26:E26"/>
    <mergeCell ref="G26:H26"/>
    <mergeCell ref="A27:B27"/>
    <mergeCell ref="D27:E27"/>
    <mergeCell ref="G27:H27"/>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11"/>
      <c r="C1" s="160" t="s">
        <v>1689</v>
      </c>
      <c r="D1" s="101"/>
      <c r="E1" s="101"/>
      <c r="F1" s="101"/>
      <c r="G1" s="101"/>
      <c r="H1" s="101"/>
      <c r="I1" s="101"/>
    </row>
    <row r="2" spans="1:10" ht="12.75">
      <c r="A2" s="102" t="s">
        <v>1</v>
      </c>
      <c r="B2" s="103"/>
      <c r="C2" s="106" t="str">
        <f>'Stavební rozpočet'!D2</f>
        <v>Revitalizace BD Nádražní 7, 9 v Mikulově</v>
      </c>
      <c r="D2" s="161"/>
      <c r="E2" s="109" t="s">
        <v>1328</v>
      </c>
      <c r="F2" s="109" t="str">
        <f>'Stavební rozpočet'!H2</f>
        <v> </v>
      </c>
      <c r="G2" s="103"/>
      <c r="H2" s="109" t="s">
        <v>1682</v>
      </c>
      <c r="I2" s="162"/>
      <c r="J2" s="3"/>
    </row>
    <row r="3" spans="1:10" ht="12.75">
      <c r="A3" s="104"/>
      <c r="B3" s="105"/>
      <c r="C3" s="107"/>
      <c r="D3" s="107"/>
      <c r="E3" s="105"/>
      <c r="F3" s="105"/>
      <c r="G3" s="105"/>
      <c r="H3" s="105"/>
      <c r="I3" s="111"/>
      <c r="J3" s="3"/>
    </row>
    <row r="4" spans="1:10" ht="12.75">
      <c r="A4" s="112" t="s">
        <v>2</v>
      </c>
      <c r="B4" s="105"/>
      <c r="C4" s="113" t="str">
        <f>'Stavební rozpočet'!D4</f>
        <v>bytový dům</v>
      </c>
      <c r="D4" s="105"/>
      <c r="E4" s="113" t="s">
        <v>1329</v>
      </c>
      <c r="F4" s="113" t="str">
        <f>'Stavební rozpočet'!H4</f>
        <v>Tomáš Sýkora</v>
      </c>
      <c r="G4" s="105"/>
      <c r="H4" s="113" t="s">
        <v>1682</v>
      </c>
      <c r="I4" s="163" t="s">
        <v>1686</v>
      </c>
      <c r="J4" s="3"/>
    </row>
    <row r="5" spans="1:10" ht="12.75">
      <c r="A5" s="104"/>
      <c r="B5" s="105"/>
      <c r="C5" s="105"/>
      <c r="D5" s="105"/>
      <c r="E5" s="105"/>
      <c r="F5" s="105"/>
      <c r="G5" s="105"/>
      <c r="H5" s="105"/>
      <c r="I5" s="111"/>
      <c r="J5" s="3"/>
    </row>
    <row r="6" spans="1:10" ht="12.75">
      <c r="A6" s="112" t="s">
        <v>3</v>
      </c>
      <c r="B6" s="105"/>
      <c r="C6" s="113" t="str">
        <f>'Stavební rozpočet'!D6</f>
        <v>Parcela č. 1948/1, 1949, k.ú.  Mikulov na Moravě [694193]</v>
      </c>
      <c r="D6" s="105"/>
      <c r="E6" s="113" t="s">
        <v>1330</v>
      </c>
      <c r="F6" s="113" t="str">
        <f>'Stavební rozpočet'!H6</f>
        <v> </v>
      </c>
      <c r="G6" s="105"/>
      <c r="H6" s="113" t="s">
        <v>1682</v>
      </c>
      <c r="I6" s="163"/>
      <c r="J6" s="3"/>
    </row>
    <row r="7" spans="1:10" ht="12.75">
      <c r="A7" s="104"/>
      <c r="B7" s="105"/>
      <c r="C7" s="105"/>
      <c r="D7" s="105"/>
      <c r="E7" s="105"/>
      <c r="F7" s="105"/>
      <c r="G7" s="105"/>
      <c r="H7" s="105"/>
      <c r="I7" s="111"/>
      <c r="J7" s="3"/>
    </row>
    <row r="8" spans="1:10" ht="12.75">
      <c r="A8" s="112" t="s">
        <v>1324</v>
      </c>
      <c r="B8" s="105"/>
      <c r="C8" s="113" t="str">
        <f>'Stavební rozpočet'!F4</f>
        <v> </v>
      </c>
      <c r="D8" s="105"/>
      <c r="E8" s="113" t="s">
        <v>1325</v>
      </c>
      <c r="F8" s="113" t="str">
        <f>'Stavební rozpočet'!F6</f>
        <v> </v>
      </c>
      <c r="G8" s="105"/>
      <c r="H8" s="114" t="s">
        <v>1683</v>
      </c>
      <c r="I8" s="163" t="s">
        <v>1567</v>
      </c>
      <c r="J8" s="3"/>
    </row>
    <row r="9" spans="1:10" ht="12.75">
      <c r="A9" s="104"/>
      <c r="B9" s="105"/>
      <c r="C9" s="105"/>
      <c r="D9" s="105"/>
      <c r="E9" s="105"/>
      <c r="F9" s="105"/>
      <c r="G9" s="105"/>
      <c r="H9" s="105"/>
      <c r="I9" s="111"/>
      <c r="J9" s="3"/>
    </row>
    <row r="10" spans="1:10" ht="12.75">
      <c r="A10" s="112" t="s">
        <v>4</v>
      </c>
      <c r="B10" s="105"/>
      <c r="C10" s="113">
        <f>'Stavební rozpočet'!D8</f>
        <v>8035213</v>
      </c>
      <c r="D10" s="105"/>
      <c r="E10" s="113" t="s">
        <v>1331</v>
      </c>
      <c r="F10" s="113" t="str">
        <f>'Stavební rozpočet'!H8</f>
        <v> </v>
      </c>
      <c r="G10" s="105"/>
      <c r="H10" s="114" t="s">
        <v>1684</v>
      </c>
      <c r="I10" s="157" t="str">
        <f>'Stavební rozpočet'!F8</f>
        <v>21.10.2020</v>
      </c>
      <c r="J10" s="3"/>
    </row>
    <row r="11" spans="1:10" ht="12.75">
      <c r="A11" s="164"/>
      <c r="B11" s="158"/>
      <c r="C11" s="158"/>
      <c r="D11" s="158"/>
      <c r="E11" s="158"/>
      <c r="F11" s="158"/>
      <c r="G11" s="158"/>
      <c r="H11" s="158"/>
      <c r="I11" s="165"/>
      <c r="J11" s="3"/>
    </row>
    <row r="12" spans="1:9" ht="23.25" customHeight="1">
      <c r="A12" s="166" t="s">
        <v>1643</v>
      </c>
      <c r="B12" s="167"/>
      <c r="C12" s="167"/>
      <c r="D12" s="167"/>
      <c r="E12" s="167"/>
      <c r="F12" s="167"/>
      <c r="G12" s="167"/>
      <c r="H12" s="167"/>
      <c r="I12" s="167"/>
    </row>
    <row r="13" spans="1:10" ht="26.25" customHeight="1">
      <c r="A13" s="45" t="s">
        <v>1644</v>
      </c>
      <c r="B13" s="168" t="s">
        <v>1655</v>
      </c>
      <c r="C13" s="169"/>
      <c r="D13" s="45" t="s">
        <v>1658</v>
      </c>
      <c r="E13" s="168" t="s">
        <v>1667</v>
      </c>
      <c r="F13" s="169"/>
      <c r="G13" s="45" t="s">
        <v>1668</v>
      </c>
      <c r="H13" s="168" t="s">
        <v>1685</v>
      </c>
      <c r="I13" s="169"/>
      <c r="J13" s="3"/>
    </row>
    <row r="14" spans="1:10" ht="15" customHeight="1">
      <c r="A14" s="46" t="s">
        <v>1645</v>
      </c>
      <c r="B14" s="50" t="s">
        <v>1656</v>
      </c>
      <c r="C14" s="53">
        <f aca="true" t="shared" si="0" ref="C14:C21">0</f>
        <v>0</v>
      </c>
      <c r="D14" s="170" t="s">
        <v>1659</v>
      </c>
      <c r="E14" s="171"/>
      <c r="F14" s="53">
        <v>0</v>
      </c>
      <c r="G14" s="170" t="s">
        <v>1669</v>
      </c>
      <c r="H14" s="171"/>
      <c r="I14" s="54" t="s">
        <v>1567</v>
      </c>
      <c r="J14" s="3"/>
    </row>
    <row r="15" spans="1:10" ht="15" customHeight="1">
      <c r="A15" s="47"/>
      <c r="B15" s="50" t="s">
        <v>1550</v>
      </c>
      <c r="C15" s="53">
        <f t="shared" si="0"/>
        <v>0</v>
      </c>
      <c r="D15" s="170" t="s">
        <v>1660</v>
      </c>
      <c r="E15" s="171"/>
      <c r="F15" s="53">
        <v>0</v>
      </c>
      <c r="G15" s="170" t="s">
        <v>1670</v>
      </c>
      <c r="H15" s="171"/>
      <c r="I15" s="54" t="s">
        <v>1567</v>
      </c>
      <c r="J15" s="3"/>
    </row>
    <row r="16" spans="1:10" ht="15" customHeight="1">
      <c r="A16" s="46" t="s">
        <v>1646</v>
      </c>
      <c r="B16" s="50" t="s">
        <v>1656</v>
      </c>
      <c r="C16" s="53">
        <f t="shared" si="0"/>
        <v>0</v>
      </c>
      <c r="D16" s="170" t="s">
        <v>1661</v>
      </c>
      <c r="E16" s="171"/>
      <c r="F16" s="53">
        <v>0</v>
      </c>
      <c r="G16" s="170" t="s">
        <v>1671</v>
      </c>
      <c r="H16" s="171"/>
      <c r="I16" s="54" t="s">
        <v>1567</v>
      </c>
      <c r="J16" s="3"/>
    </row>
    <row r="17" spans="1:10" ht="15" customHeight="1">
      <c r="A17" s="47"/>
      <c r="B17" s="50" t="s">
        <v>1550</v>
      </c>
      <c r="C17" s="53">
        <f t="shared" si="0"/>
        <v>0</v>
      </c>
      <c r="D17" s="170"/>
      <c r="E17" s="171"/>
      <c r="F17" s="54"/>
      <c r="G17" s="170" t="s">
        <v>1672</v>
      </c>
      <c r="H17" s="171"/>
      <c r="I17" s="54" t="s">
        <v>1567</v>
      </c>
      <c r="J17" s="3"/>
    </row>
    <row r="18" spans="1:10" ht="15" customHeight="1">
      <c r="A18" s="46" t="s">
        <v>1647</v>
      </c>
      <c r="B18" s="50" t="s">
        <v>1656</v>
      </c>
      <c r="C18" s="53">
        <f t="shared" si="0"/>
        <v>0</v>
      </c>
      <c r="D18" s="170"/>
      <c r="E18" s="171"/>
      <c r="F18" s="54"/>
      <c r="G18" s="170" t="s">
        <v>1673</v>
      </c>
      <c r="H18" s="171"/>
      <c r="I18" s="54" t="s">
        <v>1567</v>
      </c>
      <c r="J18" s="3"/>
    </row>
    <row r="19" spans="1:10" ht="15" customHeight="1">
      <c r="A19" s="47"/>
      <c r="B19" s="50" t="s">
        <v>1550</v>
      </c>
      <c r="C19" s="53">
        <f t="shared" si="0"/>
        <v>0</v>
      </c>
      <c r="D19" s="170"/>
      <c r="E19" s="171"/>
      <c r="F19" s="54"/>
      <c r="G19" s="170" t="s">
        <v>1674</v>
      </c>
      <c r="H19" s="171"/>
      <c r="I19" s="54" t="s">
        <v>1567</v>
      </c>
      <c r="J19" s="3"/>
    </row>
    <row r="20" spans="1:10" ht="15" customHeight="1">
      <c r="A20" s="172" t="s">
        <v>1312</v>
      </c>
      <c r="B20" s="173"/>
      <c r="C20" s="53">
        <f t="shared" si="0"/>
        <v>0</v>
      </c>
      <c r="D20" s="170"/>
      <c r="E20" s="171"/>
      <c r="F20" s="54"/>
      <c r="G20" s="170"/>
      <c r="H20" s="171"/>
      <c r="I20" s="54"/>
      <c r="J20" s="3"/>
    </row>
    <row r="21" spans="1:10" ht="15" customHeight="1">
      <c r="A21" s="172" t="s">
        <v>1648</v>
      </c>
      <c r="B21" s="173"/>
      <c r="C21" s="53">
        <f t="shared" si="0"/>
        <v>0</v>
      </c>
      <c r="D21" s="170"/>
      <c r="E21" s="171"/>
      <c r="F21" s="54"/>
      <c r="G21" s="170"/>
      <c r="H21" s="171"/>
      <c r="I21" s="54"/>
      <c r="J21" s="3"/>
    </row>
    <row r="22" spans="1:10" ht="16.5" customHeight="1">
      <c r="A22" s="172" t="s">
        <v>1649</v>
      </c>
      <c r="B22" s="173"/>
      <c r="C22" s="53">
        <f>SUM(C14:C21)</f>
        <v>0</v>
      </c>
      <c r="D22" s="172" t="s">
        <v>1662</v>
      </c>
      <c r="E22" s="173"/>
      <c r="F22" s="53">
        <f>SUM(F14:F21)</f>
        <v>0</v>
      </c>
      <c r="G22" s="172" t="s">
        <v>1675</v>
      </c>
      <c r="H22" s="173"/>
      <c r="I22" s="53">
        <f>SUM(I14:I21)</f>
        <v>0</v>
      </c>
      <c r="J22" s="3"/>
    </row>
    <row r="23" spans="1:9" ht="15" customHeight="1">
      <c r="A23" s="6"/>
      <c r="B23" s="6"/>
      <c r="C23" s="6"/>
      <c r="D23" s="6"/>
      <c r="E23" s="6"/>
      <c r="F23" s="52"/>
      <c r="G23" s="172" t="s">
        <v>1677</v>
      </c>
      <c r="H23" s="173"/>
      <c r="I23" s="57"/>
    </row>
    <row r="24" spans="1:8" ht="12.75">
      <c r="A24" s="11"/>
      <c r="B24" s="11"/>
      <c r="C24" s="11"/>
      <c r="G24" s="6"/>
      <c r="H24" s="6"/>
    </row>
    <row r="25" spans="1:9" ht="15" customHeight="1">
      <c r="A25" s="174" t="s">
        <v>1650</v>
      </c>
      <c r="B25" s="175"/>
      <c r="C25" s="56">
        <f>0</f>
        <v>0</v>
      </c>
      <c r="D25" s="5"/>
      <c r="E25" s="11"/>
      <c r="F25" s="11"/>
      <c r="G25" s="11"/>
      <c r="H25" s="11"/>
      <c r="I25" s="11"/>
    </row>
    <row r="26" spans="1:10" ht="15" customHeight="1">
      <c r="A26" s="174" t="s">
        <v>1651</v>
      </c>
      <c r="B26" s="175"/>
      <c r="C26" s="56">
        <f>0+(F22+I22+F23+I23+I24)</f>
        <v>0</v>
      </c>
      <c r="D26" s="174" t="s">
        <v>1664</v>
      </c>
      <c r="E26" s="175"/>
      <c r="F26" s="56">
        <f>ROUND(C26*(15/100),2)</f>
        <v>0</v>
      </c>
      <c r="G26" s="174" t="s">
        <v>1679</v>
      </c>
      <c r="H26" s="175"/>
      <c r="I26" s="56">
        <f>SUM(C25:C27)</f>
        <v>0</v>
      </c>
      <c r="J26" s="3"/>
    </row>
    <row r="27" spans="1:10" ht="15" customHeight="1">
      <c r="A27" s="174" t="s">
        <v>1652</v>
      </c>
      <c r="B27" s="175"/>
      <c r="C27" s="56">
        <f>0</f>
        <v>0</v>
      </c>
      <c r="D27" s="174" t="s">
        <v>1665</v>
      </c>
      <c r="E27" s="175"/>
      <c r="F27" s="56">
        <f>ROUND(C27*(21/100),2)</f>
        <v>0</v>
      </c>
      <c r="G27" s="174" t="s">
        <v>1680</v>
      </c>
      <c r="H27" s="175"/>
      <c r="I27" s="56">
        <f>SUM(F26:F27)+I26</f>
        <v>0</v>
      </c>
      <c r="J27" s="3"/>
    </row>
    <row r="28" spans="1:9" ht="12.75">
      <c r="A28" s="48"/>
      <c r="B28" s="48"/>
      <c r="C28" s="48"/>
      <c r="D28" s="48"/>
      <c r="E28" s="48"/>
      <c r="F28" s="48"/>
      <c r="G28" s="48"/>
      <c r="H28" s="48"/>
      <c r="I28" s="48"/>
    </row>
    <row r="29" spans="1:10" ht="14.25" customHeight="1">
      <c r="A29" s="176" t="s">
        <v>1653</v>
      </c>
      <c r="B29" s="177"/>
      <c r="C29" s="178"/>
      <c r="D29" s="176" t="s">
        <v>1666</v>
      </c>
      <c r="E29" s="177"/>
      <c r="F29" s="178"/>
      <c r="G29" s="176" t="s">
        <v>1681</v>
      </c>
      <c r="H29" s="177"/>
      <c r="I29" s="178"/>
      <c r="J29" s="26"/>
    </row>
    <row r="30" spans="1:10" ht="14.25" customHeight="1">
      <c r="A30" s="179"/>
      <c r="B30" s="180"/>
      <c r="C30" s="181"/>
      <c r="D30" s="179"/>
      <c r="E30" s="180"/>
      <c r="F30" s="181"/>
      <c r="G30" s="179"/>
      <c r="H30" s="180"/>
      <c r="I30" s="181"/>
      <c r="J30" s="26"/>
    </row>
    <row r="31" spans="1:10" ht="14.25" customHeight="1">
      <c r="A31" s="179"/>
      <c r="B31" s="180"/>
      <c r="C31" s="181"/>
      <c r="D31" s="179"/>
      <c r="E31" s="180"/>
      <c r="F31" s="181"/>
      <c r="G31" s="179"/>
      <c r="H31" s="180"/>
      <c r="I31" s="181"/>
      <c r="J31" s="26"/>
    </row>
    <row r="32" spans="1:10" ht="14.25" customHeight="1">
      <c r="A32" s="179"/>
      <c r="B32" s="180"/>
      <c r="C32" s="181"/>
      <c r="D32" s="179"/>
      <c r="E32" s="180"/>
      <c r="F32" s="181"/>
      <c r="G32" s="179"/>
      <c r="H32" s="180"/>
      <c r="I32" s="181"/>
      <c r="J32" s="26"/>
    </row>
    <row r="33" spans="1:10" ht="14.25" customHeight="1">
      <c r="A33" s="182" t="s">
        <v>1654</v>
      </c>
      <c r="B33" s="183"/>
      <c r="C33" s="184"/>
      <c r="D33" s="182" t="s">
        <v>1654</v>
      </c>
      <c r="E33" s="183"/>
      <c r="F33" s="184"/>
      <c r="G33" s="182" t="s">
        <v>1654</v>
      </c>
      <c r="H33" s="183"/>
      <c r="I33" s="184"/>
      <c r="J33" s="26"/>
    </row>
    <row r="34" spans="1:9" ht="11.25" customHeight="1">
      <c r="A34" s="49" t="s">
        <v>281</v>
      </c>
      <c r="B34" s="51"/>
      <c r="C34" s="51"/>
      <c r="D34" s="51"/>
      <c r="E34" s="51"/>
      <c r="F34" s="51"/>
      <c r="G34" s="51"/>
      <c r="H34" s="51"/>
      <c r="I34" s="51"/>
    </row>
    <row r="35" spans="1:9" ht="12.75">
      <c r="A35" s="113"/>
      <c r="B35" s="105"/>
      <c r="C35" s="105"/>
      <c r="D35" s="105"/>
      <c r="E35" s="105"/>
      <c r="F35" s="105"/>
      <c r="G35" s="105"/>
      <c r="H35" s="105"/>
      <c r="I35" s="105"/>
    </row>
  </sheetData>
  <sheetProtection/>
  <mergeCells count="80">
    <mergeCell ref="A33:C33"/>
    <mergeCell ref="D33:F33"/>
    <mergeCell ref="G33:I33"/>
    <mergeCell ref="A35:I35"/>
    <mergeCell ref="A31:C31"/>
    <mergeCell ref="D31:F31"/>
    <mergeCell ref="G31:I31"/>
    <mergeCell ref="A32:C32"/>
    <mergeCell ref="D32:F32"/>
    <mergeCell ref="G32:I32"/>
    <mergeCell ref="A29:C29"/>
    <mergeCell ref="D29:F29"/>
    <mergeCell ref="G29:I29"/>
    <mergeCell ref="A30:C30"/>
    <mergeCell ref="D30:F30"/>
    <mergeCell ref="G30:I30"/>
    <mergeCell ref="G23:H23"/>
    <mergeCell ref="A25:B25"/>
    <mergeCell ref="A26:B26"/>
    <mergeCell ref="D26:E26"/>
    <mergeCell ref="G26:H26"/>
    <mergeCell ref="A27:B27"/>
    <mergeCell ref="D27:E27"/>
    <mergeCell ref="G27:H27"/>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BL1164"/>
  <sheetViews>
    <sheetView zoomScalePageLayoutView="0" workbookViewId="0" topLeftCell="A1">
      <pane ySplit="11" topLeftCell="A1164" activePane="bottomLeft" state="frozen"/>
      <selection pane="topLeft" activeCell="A1" sqref="A1"/>
      <selection pane="bottomLeft" activeCell="A1" sqref="A1:N1"/>
    </sheetView>
  </sheetViews>
  <sheetFormatPr defaultColWidth="11.57421875" defaultRowHeight="12.75"/>
  <cols>
    <col min="1" max="1" width="3.7109375" style="0" customWidth="1"/>
    <col min="2" max="2" width="7.57421875" style="0" customWidth="1"/>
    <col min="3" max="3" width="14.28125" style="0" customWidth="1"/>
    <col min="4" max="4" width="90.00390625" style="0" customWidth="1"/>
    <col min="5" max="5" width="34.00390625" style="0" customWidth="1"/>
    <col min="6" max="7" width="11.57421875" style="0" customWidth="1"/>
    <col min="8" max="8" width="6.7109375" style="0" customWidth="1"/>
    <col min="9" max="9" width="12.8515625" style="0" customWidth="1"/>
    <col min="10" max="10" width="12.00390625" style="0" customWidth="1"/>
    <col min="11" max="13" width="14.28125" style="0" customWidth="1"/>
    <col min="14" max="14" width="11.7109375" style="0" customWidth="1"/>
    <col min="15" max="24" width="11.57421875" style="0" customWidth="1"/>
    <col min="25" max="64" width="12.140625" style="0" hidden="1" customWidth="1"/>
  </cols>
  <sheetData>
    <row r="1" spans="1:14" ht="72.75" customHeight="1">
      <c r="A1" s="100" t="s">
        <v>0</v>
      </c>
      <c r="B1" s="101"/>
      <c r="C1" s="101"/>
      <c r="D1" s="101"/>
      <c r="E1" s="101"/>
      <c r="F1" s="101"/>
      <c r="G1" s="101"/>
      <c r="H1" s="101"/>
      <c r="I1" s="101"/>
      <c r="J1" s="101"/>
      <c r="K1" s="101"/>
      <c r="L1" s="101"/>
      <c r="M1" s="101"/>
      <c r="N1" s="101"/>
    </row>
    <row r="2" spans="1:15" ht="12.75">
      <c r="A2" s="102" t="s">
        <v>1</v>
      </c>
      <c r="B2" s="103"/>
      <c r="C2" s="103"/>
      <c r="D2" s="106" t="s">
        <v>583</v>
      </c>
      <c r="E2" s="108" t="s">
        <v>1323</v>
      </c>
      <c r="F2" s="108" t="s">
        <v>6</v>
      </c>
      <c r="G2" s="109" t="s">
        <v>1328</v>
      </c>
      <c r="H2" s="108" t="s">
        <v>1531</v>
      </c>
      <c r="I2" s="103"/>
      <c r="J2" s="103"/>
      <c r="K2" s="103"/>
      <c r="L2" s="103"/>
      <c r="M2" s="103"/>
      <c r="N2" s="110"/>
      <c r="O2" s="3"/>
    </row>
    <row r="3" spans="1:15" ht="12.75">
      <c r="A3" s="104"/>
      <c r="B3" s="105"/>
      <c r="C3" s="105"/>
      <c r="D3" s="107"/>
      <c r="E3" s="105"/>
      <c r="F3" s="105"/>
      <c r="G3" s="105"/>
      <c r="H3" s="105"/>
      <c r="I3" s="105"/>
      <c r="J3" s="105"/>
      <c r="K3" s="105"/>
      <c r="L3" s="105"/>
      <c r="M3" s="105"/>
      <c r="N3" s="111"/>
      <c r="O3" s="3"/>
    </row>
    <row r="4" spans="1:15" ht="12.75">
      <c r="A4" s="112" t="s">
        <v>2</v>
      </c>
      <c r="B4" s="105"/>
      <c r="C4" s="105"/>
      <c r="D4" s="113" t="s">
        <v>584</v>
      </c>
      <c r="E4" s="114" t="s">
        <v>1324</v>
      </c>
      <c r="F4" s="114" t="s">
        <v>6</v>
      </c>
      <c r="G4" s="113" t="s">
        <v>1329</v>
      </c>
      <c r="H4" s="113" t="s">
        <v>1532</v>
      </c>
      <c r="I4" s="105"/>
      <c r="J4" s="105"/>
      <c r="K4" s="105"/>
      <c r="L4" s="105"/>
      <c r="M4" s="105"/>
      <c r="N4" s="111"/>
      <c r="O4" s="3"/>
    </row>
    <row r="5" spans="1:15" ht="12.75">
      <c r="A5" s="104"/>
      <c r="B5" s="105"/>
      <c r="C5" s="105"/>
      <c r="D5" s="105"/>
      <c r="E5" s="105"/>
      <c r="F5" s="105"/>
      <c r="G5" s="105"/>
      <c r="H5" s="105"/>
      <c r="I5" s="105"/>
      <c r="J5" s="105"/>
      <c r="K5" s="105"/>
      <c r="L5" s="105"/>
      <c r="M5" s="105"/>
      <c r="N5" s="111"/>
      <c r="O5" s="3"/>
    </row>
    <row r="6" spans="1:15" ht="12.75">
      <c r="A6" s="112" t="s">
        <v>3</v>
      </c>
      <c r="B6" s="105"/>
      <c r="C6" s="105"/>
      <c r="D6" s="113" t="s">
        <v>585</v>
      </c>
      <c r="E6" s="114" t="s">
        <v>1325</v>
      </c>
      <c r="F6" s="114" t="s">
        <v>6</v>
      </c>
      <c r="G6" s="113" t="s">
        <v>1330</v>
      </c>
      <c r="H6" s="114" t="s">
        <v>1531</v>
      </c>
      <c r="I6" s="105"/>
      <c r="J6" s="105"/>
      <c r="K6" s="105"/>
      <c r="L6" s="105"/>
      <c r="M6" s="105"/>
      <c r="N6" s="111"/>
      <c r="O6" s="3"/>
    </row>
    <row r="7" spans="1:15" ht="12.75">
      <c r="A7" s="104"/>
      <c r="B7" s="105"/>
      <c r="C7" s="105"/>
      <c r="D7" s="105"/>
      <c r="E7" s="105"/>
      <c r="F7" s="105"/>
      <c r="G7" s="105"/>
      <c r="H7" s="105"/>
      <c r="I7" s="105"/>
      <c r="J7" s="105"/>
      <c r="K7" s="105"/>
      <c r="L7" s="105"/>
      <c r="M7" s="105"/>
      <c r="N7" s="111"/>
      <c r="O7" s="3"/>
    </row>
    <row r="8" spans="1:15" ht="12.75">
      <c r="A8" s="112" t="s">
        <v>4</v>
      </c>
      <c r="B8" s="105"/>
      <c r="C8" s="105"/>
      <c r="D8" s="113">
        <v>8035213</v>
      </c>
      <c r="E8" s="114" t="s">
        <v>1326</v>
      </c>
      <c r="F8" s="114" t="s">
        <v>1327</v>
      </c>
      <c r="G8" s="113" t="s">
        <v>1331</v>
      </c>
      <c r="H8" s="114" t="s">
        <v>1531</v>
      </c>
      <c r="I8" s="105"/>
      <c r="J8" s="105"/>
      <c r="K8" s="105"/>
      <c r="L8" s="105"/>
      <c r="M8" s="105"/>
      <c r="N8" s="111"/>
      <c r="O8" s="3"/>
    </row>
    <row r="9" spans="1:15" ht="12.75">
      <c r="A9" s="115"/>
      <c r="B9" s="116"/>
      <c r="C9" s="116"/>
      <c r="D9" s="116"/>
      <c r="E9" s="116"/>
      <c r="F9" s="116"/>
      <c r="G9" s="116"/>
      <c r="H9" s="116"/>
      <c r="I9" s="116"/>
      <c r="J9" s="116"/>
      <c r="K9" s="116"/>
      <c r="L9" s="116"/>
      <c r="M9" s="116"/>
      <c r="N9" s="117"/>
      <c r="O9" s="3"/>
    </row>
    <row r="10" spans="1:64" ht="12.75">
      <c r="A10" s="1" t="s">
        <v>5</v>
      </c>
      <c r="B10" s="8" t="s">
        <v>282</v>
      </c>
      <c r="C10" s="8" t="s">
        <v>285</v>
      </c>
      <c r="D10" s="118" t="s">
        <v>586</v>
      </c>
      <c r="E10" s="119"/>
      <c r="F10" s="119"/>
      <c r="G10" s="120"/>
      <c r="H10" s="8" t="s">
        <v>1533</v>
      </c>
      <c r="I10" s="17" t="s">
        <v>1544</v>
      </c>
      <c r="J10" s="21" t="s">
        <v>1545</v>
      </c>
      <c r="K10" s="121" t="s">
        <v>1547</v>
      </c>
      <c r="L10" s="122"/>
      <c r="M10" s="123"/>
      <c r="N10" s="22" t="s">
        <v>1552</v>
      </c>
      <c r="O10" s="26"/>
      <c r="BK10" s="27" t="s">
        <v>1633</v>
      </c>
      <c r="BL10" s="32" t="s">
        <v>1636</v>
      </c>
    </row>
    <row r="11" spans="1:62" ht="12.75">
      <c r="A11" s="59" t="s">
        <v>6</v>
      </c>
      <c r="B11" s="60" t="s">
        <v>6</v>
      </c>
      <c r="C11" s="60" t="s">
        <v>6</v>
      </c>
      <c r="D11" s="124" t="s">
        <v>587</v>
      </c>
      <c r="E11" s="125"/>
      <c r="F11" s="125"/>
      <c r="G11" s="126"/>
      <c r="H11" s="60" t="s">
        <v>6</v>
      </c>
      <c r="I11" s="60" t="s">
        <v>6</v>
      </c>
      <c r="J11" s="61" t="s">
        <v>1546</v>
      </c>
      <c r="K11" s="62" t="s">
        <v>1548</v>
      </c>
      <c r="L11" s="63" t="s">
        <v>1550</v>
      </c>
      <c r="M11" s="64" t="s">
        <v>1551</v>
      </c>
      <c r="N11" s="66" t="s">
        <v>1553</v>
      </c>
      <c r="O11" s="26"/>
      <c r="Z11" s="27" t="s">
        <v>1558</v>
      </c>
      <c r="AA11" s="27" t="s">
        <v>1559</v>
      </c>
      <c r="AB11" s="27" t="s">
        <v>1560</v>
      </c>
      <c r="AC11" s="27" t="s">
        <v>1561</v>
      </c>
      <c r="AD11" s="27" t="s">
        <v>1562</v>
      </c>
      <c r="AE11" s="27" t="s">
        <v>1563</v>
      </c>
      <c r="AF11" s="27" t="s">
        <v>1564</v>
      </c>
      <c r="AG11" s="27" t="s">
        <v>1565</v>
      </c>
      <c r="AH11" s="27" t="s">
        <v>1566</v>
      </c>
      <c r="BH11" s="27" t="s">
        <v>1630</v>
      </c>
      <c r="BI11" s="27" t="s">
        <v>1631</v>
      </c>
      <c r="BJ11" s="27" t="s">
        <v>1632</v>
      </c>
    </row>
    <row r="12" spans="1:15" ht="12.75">
      <c r="A12" s="68"/>
      <c r="B12" s="69" t="s">
        <v>283</v>
      </c>
      <c r="C12" s="69"/>
      <c r="D12" s="127" t="s">
        <v>588</v>
      </c>
      <c r="E12" s="128"/>
      <c r="F12" s="128"/>
      <c r="G12" s="129"/>
      <c r="H12" s="68" t="s">
        <v>6</v>
      </c>
      <c r="I12" s="68" t="s">
        <v>6</v>
      </c>
      <c r="J12" s="68" t="s">
        <v>6</v>
      </c>
      <c r="K12" s="70">
        <f>K13+K16+K25+K33+K40+K48+K53+K63+K67+K70+K76+K89+K107+K130+K138+K277+K301+K315+K345+K417+K428+K434+K450+K460+K526+K546+K657+K707+K816+K846+K890+K899+K905+K916+K926+K950+K968+K973+K1037+K1047+K1102+K1115+K1129+K1145</f>
        <v>0</v>
      </c>
      <c r="L12" s="70">
        <f>L13+L16+L25+L33+L40+L48+L53+L63+L67+L70+L76+L89+L107+L130+L138+L277+L301+L315+L345+L417+L428+L434+L450+L460+L526+L546+L657+L707+L816+L846+L890+L899+L905+L916+L926+L950+L968+L973+L1037+L1047+L1102+L1115+L1129+L1145</f>
        <v>0</v>
      </c>
      <c r="M12" s="70">
        <f>M13+M16+M25+M33+M40+M48+M53+M63+M67+M70+M76+M89+M107+M130+M138+M277+M301+M315+M345+M417+M428+M434+M450+M460+M526+M546+M657+M707+M816+M846+M890+M899+M905+M916+M926+M950+M968+M973+M1037+M1047+M1102+M1115+M1129+M1145</f>
        <v>0</v>
      </c>
      <c r="N12" s="65"/>
      <c r="O12" s="67"/>
    </row>
    <row r="13" spans="1:47" ht="12.75">
      <c r="A13" s="72"/>
      <c r="B13" s="73" t="s">
        <v>283</v>
      </c>
      <c r="C13" s="73" t="s">
        <v>286</v>
      </c>
      <c r="D13" s="130" t="s">
        <v>589</v>
      </c>
      <c r="E13" s="131"/>
      <c r="F13" s="131"/>
      <c r="G13" s="132"/>
      <c r="H13" s="72" t="s">
        <v>6</v>
      </c>
      <c r="I13" s="72" t="s">
        <v>6</v>
      </c>
      <c r="J13" s="72" t="s">
        <v>6</v>
      </c>
      <c r="K13" s="76">
        <f>SUM(K14:K14)</f>
        <v>0</v>
      </c>
      <c r="L13" s="76">
        <f>SUM(L14:L14)</f>
        <v>0</v>
      </c>
      <c r="M13" s="76">
        <f>SUM(M14:M14)</f>
        <v>0</v>
      </c>
      <c r="N13" s="71"/>
      <c r="O13" s="67"/>
      <c r="AI13" s="27" t="s">
        <v>283</v>
      </c>
      <c r="AS13" s="33">
        <f>SUM(AJ14:AJ14)</f>
        <v>0</v>
      </c>
      <c r="AT13" s="33">
        <f>SUM(AK14:AK14)</f>
        <v>0</v>
      </c>
      <c r="AU13" s="33">
        <f>SUM(AL14:AL14)</f>
        <v>0</v>
      </c>
    </row>
    <row r="14" spans="1:64" ht="12.75">
      <c r="A14" s="74" t="s">
        <v>7</v>
      </c>
      <c r="B14" s="74" t="s">
        <v>283</v>
      </c>
      <c r="C14" s="74" t="s">
        <v>287</v>
      </c>
      <c r="D14" s="133" t="s">
        <v>590</v>
      </c>
      <c r="E14" s="134"/>
      <c r="F14" s="134"/>
      <c r="G14" s="135"/>
      <c r="H14" s="74"/>
      <c r="I14" s="75">
        <v>0</v>
      </c>
      <c r="J14" s="75">
        <v>0</v>
      </c>
      <c r="K14" s="75">
        <f>I14*AO14</f>
        <v>0</v>
      </c>
      <c r="L14" s="75">
        <f>I14*AP14</f>
        <v>0</v>
      </c>
      <c r="M14" s="75">
        <f>I14*J14</f>
        <v>0</v>
      </c>
      <c r="N14" s="78" t="s">
        <v>1554</v>
      </c>
      <c r="O14" s="67"/>
      <c r="Z14" s="28">
        <f>IF(AQ14="5",BJ14,0)</f>
        <v>0</v>
      </c>
      <c r="AB14" s="28">
        <f>IF(AQ14="1",BH14,0)</f>
        <v>0</v>
      </c>
      <c r="AC14" s="28">
        <f>IF(AQ14="1",BI14,0)</f>
        <v>0</v>
      </c>
      <c r="AD14" s="28">
        <f>IF(AQ14="7",BH14,0)</f>
        <v>0</v>
      </c>
      <c r="AE14" s="28">
        <f>IF(AQ14="7",BI14,0)</f>
        <v>0</v>
      </c>
      <c r="AF14" s="28">
        <f>IF(AQ14="2",BH14,0)</f>
        <v>0</v>
      </c>
      <c r="AG14" s="28">
        <f>IF(AQ14="2",BI14,0)</f>
        <v>0</v>
      </c>
      <c r="AH14" s="28">
        <f>IF(AQ14="0",BJ14,0)</f>
        <v>0</v>
      </c>
      <c r="AI14" s="27" t="s">
        <v>283</v>
      </c>
      <c r="AJ14" s="18">
        <f>IF(AN14=0,M14,0)</f>
        <v>0</v>
      </c>
      <c r="AK14" s="18">
        <f>IF(AN14=15,M14,0)</f>
        <v>0</v>
      </c>
      <c r="AL14" s="18">
        <f>IF(AN14=21,M14,0)</f>
        <v>0</v>
      </c>
      <c r="AN14" s="28">
        <v>15</v>
      </c>
      <c r="AO14" s="28">
        <f>J14*0</f>
        <v>0</v>
      </c>
      <c r="AP14" s="28">
        <f>J14*(1-0)</f>
        <v>0</v>
      </c>
      <c r="AQ14" s="29" t="s">
        <v>8</v>
      </c>
      <c r="AV14" s="28">
        <f>AW14+AX14</f>
        <v>0</v>
      </c>
      <c r="AW14" s="28">
        <f>I14*AO14</f>
        <v>0</v>
      </c>
      <c r="AX14" s="28">
        <f>I14*AP14</f>
        <v>0</v>
      </c>
      <c r="AY14" s="31" t="s">
        <v>1568</v>
      </c>
      <c r="AZ14" s="31" t="s">
        <v>1613</v>
      </c>
      <c r="BA14" s="27" t="s">
        <v>1628</v>
      </c>
      <c r="BC14" s="28">
        <f>AW14+AX14</f>
        <v>0</v>
      </c>
      <c r="BD14" s="28">
        <f>J14/(100-BE14)*100</f>
        <v>0</v>
      </c>
      <c r="BE14" s="28">
        <v>0</v>
      </c>
      <c r="BF14" s="28">
        <f>14</f>
        <v>14</v>
      </c>
      <c r="BH14" s="18">
        <f>I14*AO14</f>
        <v>0</v>
      </c>
      <c r="BI14" s="18">
        <f>I14*AP14</f>
        <v>0</v>
      </c>
      <c r="BJ14" s="18">
        <f>I14*J14</f>
        <v>0</v>
      </c>
      <c r="BK14" s="18" t="s">
        <v>1634</v>
      </c>
      <c r="BL14" s="28" t="s">
        <v>286</v>
      </c>
    </row>
    <row r="15" spans="1:15" ht="51" customHeight="1">
      <c r="A15" s="3"/>
      <c r="D15" s="136" t="s">
        <v>591</v>
      </c>
      <c r="E15" s="137"/>
      <c r="F15" s="137"/>
      <c r="G15" s="137"/>
      <c r="H15" s="137"/>
      <c r="I15" s="137"/>
      <c r="J15" s="137"/>
      <c r="K15" s="137"/>
      <c r="L15" s="137"/>
      <c r="M15" s="137"/>
      <c r="N15" s="138"/>
      <c r="O15" s="3"/>
    </row>
    <row r="16" spans="1:47" ht="12.75">
      <c r="A16" s="72"/>
      <c r="B16" s="73" t="s">
        <v>283</v>
      </c>
      <c r="C16" s="73" t="s">
        <v>288</v>
      </c>
      <c r="D16" s="130" t="s">
        <v>592</v>
      </c>
      <c r="E16" s="131"/>
      <c r="F16" s="131"/>
      <c r="G16" s="132"/>
      <c r="H16" s="72" t="s">
        <v>6</v>
      </c>
      <c r="I16" s="72" t="s">
        <v>6</v>
      </c>
      <c r="J16" s="72" t="s">
        <v>6</v>
      </c>
      <c r="K16" s="76">
        <f>SUM(K17:K24)</f>
        <v>0</v>
      </c>
      <c r="L16" s="76">
        <f>SUM(L17:L24)</f>
        <v>0</v>
      </c>
      <c r="M16" s="76">
        <f>SUM(M17:M24)</f>
        <v>0</v>
      </c>
      <c r="N16" s="71"/>
      <c r="O16" s="67"/>
      <c r="AI16" s="27" t="s">
        <v>283</v>
      </c>
      <c r="AS16" s="33">
        <f>SUM(AJ17:AJ24)</f>
        <v>0</v>
      </c>
      <c r="AT16" s="33">
        <f>SUM(AK17:AK24)</f>
        <v>0</v>
      </c>
      <c r="AU16" s="33">
        <f>SUM(AL17:AL24)</f>
        <v>0</v>
      </c>
    </row>
    <row r="17" spans="1:64" ht="12.75">
      <c r="A17" s="81" t="s">
        <v>8</v>
      </c>
      <c r="B17" s="81" t="s">
        <v>283</v>
      </c>
      <c r="C17" s="81" t="s">
        <v>289</v>
      </c>
      <c r="D17" s="139" t="s">
        <v>593</v>
      </c>
      <c r="E17" s="134"/>
      <c r="F17" s="134"/>
      <c r="G17" s="140"/>
      <c r="H17" s="81" t="s">
        <v>1534</v>
      </c>
      <c r="I17" s="87">
        <v>1</v>
      </c>
      <c r="J17" s="87">
        <v>0</v>
      </c>
      <c r="K17" s="87">
        <f>I17*AO17</f>
        <v>0</v>
      </c>
      <c r="L17" s="87">
        <f>I17*AP17</f>
        <v>0</v>
      </c>
      <c r="M17" s="87">
        <f>I17*J17</f>
        <v>0</v>
      </c>
      <c r="N17" s="77" t="s">
        <v>1555</v>
      </c>
      <c r="O17" s="67"/>
      <c r="Z17" s="28">
        <f>IF(AQ17="5",BJ17,0)</f>
        <v>0</v>
      </c>
      <c r="AB17" s="28">
        <f>IF(AQ17="1",BH17,0)</f>
        <v>0</v>
      </c>
      <c r="AC17" s="28">
        <f>IF(AQ17="1",BI17,0)</f>
        <v>0</v>
      </c>
      <c r="AD17" s="28">
        <f>IF(AQ17="7",BH17,0)</f>
        <v>0</v>
      </c>
      <c r="AE17" s="28">
        <f>IF(AQ17="7",BI17,0)</f>
        <v>0</v>
      </c>
      <c r="AF17" s="28">
        <f>IF(AQ17="2",BH17,0)</f>
        <v>0</v>
      </c>
      <c r="AG17" s="28">
        <f>IF(AQ17="2",BI17,0)</f>
        <v>0</v>
      </c>
      <c r="AH17" s="28">
        <f>IF(AQ17="0",BJ17,0)</f>
        <v>0</v>
      </c>
      <c r="AI17" s="27" t="s">
        <v>283</v>
      </c>
      <c r="AJ17" s="18">
        <f>IF(AN17=0,M17,0)</f>
        <v>0</v>
      </c>
      <c r="AK17" s="18">
        <f>IF(AN17=15,M17,0)</f>
        <v>0</v>
      </c>
      <c r="AL17" s="18">
        <f>IF(AN17=21,M17,0)</f>
        <v>0</v>
      </c>
      <c r="AN17" s="28">
        <v>15</v>
      </c>
      <c r="AO17" s="28">
        <f>J17*0</f>
        <v>0</v>
      </c>
      <c r="AP17" s="28">
        <f>J17*(1-0)</f>
        <v>0</v>
      </c>
      <c r="AQ17" s="29" t="s">
        <v>8</v>
      </c>
      <c r="AV17" s="28">
        <f>AW17+AX17</f>
        <v>0</v>
      </c>
      <c r="AW17" s="28">
        <f>I17*AO17</f>
        <v>0</v>
      </c>
      <c r="AX17" s="28">
        <f>I17*AP17</f>
        <v>0</v>
      </c>
      <c r="AY17" s="31" t="s">
        <v>1569</v>
      </c>
      <c r="AZ17" s="31" t="s">
        <v>1613</v>
      </c>
      <c r="BA17" s="27" t="s">
        <v>1628</v>
      </c>
      <c r="BC17" s="28">
        <f>AW17+AX17</f>
        <v>0</v>
      </c>
      <c r="BD17" s="28">
        <f>J17/(100-BE17)*100</f>
        <v>0</v>
      </c>
      <c r="BE17" s="28">
        <v>0</v>
      </c>
      <c r="BF17" s="28">
        <f>17</f>
        <v>17</v>
      </c>
      <c r="BH17" s="18">
        <f>I17*AO17</f>
        <v>0</v>
      </c>
      <c r="BI17" s="18">
        <f>I17*AP17</f>
        <v>0</v>
      </c>
      <c r="BJ17" s="18">
        <f>I17*J17</f>
        <v>0</v>
      </c>
      <c r="BK17" s="18" t="s">
        <v>1634</v>
      </c>
      <c r="BL17" s="28" t="s">
        <v>288</v>
      </c>
    </row>
    <row r="18" spans="1:15" ht="12.75">
      <c r="A18" s="89"/>
      <c r="B18" s="90"/>
      <c r="C18" s="90"/>
      <c r="D18" s="84" t="s">
        <v>7</v>
      </c>
      <c r="G18" s="91"/>
      <c r="H18" s="90"/>
      <c r="I18" s="92">
        <v>1</v>
      </c>
      <c r="J18" s="90"/>
      <c r="K18" s="90"/>
      <c r="L18" s="90"/>
      <c r="M18" s="90"/>
      <c r="N18" s="79"/>
      <c r="O18" s="67"/>
    </row>
    <row r="19" spans="1:64" ht="12.75">
      <c r="A19" s="81" t="s">
        <v>9</v>
      </c>
      <c r="B19" s="81" t="s">
        <v>283</v>
      </c>
      <c r="C19" s="81" t="s">
        <v>290</v>
      </c>
      <c r="D19" s="139" t="s">
        <v>594</v>
      </c>
      <c r="E19" s="134"/>
      <c r="F19" s="134"/>
      <c r="G19" s="140"/>
      <c r="H19" s="81" t="s">
        <v>1534</v>
      </c>
      <c r="I19" s="87">
        <v>1</v>
      </c>
      <c r="J19" s="87">
        <v>0</v>
      </c>
      <c r="K19" s="87">
        <f>I19*AO19</f>
        <v>0</v>
      </c>
      <c r="L19" s="87">
        <f>I19*AP19</f>
        <v>0</v>
      </c>
      <c r="M19" s="87">
        <f>I19*J19</f>
        <v>0</v>
      </c>
      <c r="N19" s="77" t="s">
        <v>1555</v>
      </c>
      <c r="O19" s="67"/>
      <c r="Z19" s="28">
        <f>IF(AQ19="5",BJ19,0)</f>
        <v>0</v>
      </c>
      <c r="AB19" s="28">
        <f>IF(AQ19="1",BH19,0)</f>
        <v>0</v>
      </c>
      <c r="AC19" s="28">
        <f>IF(AQ19="1",BI19,0)</f>
        <v>0</v>
      </c>
      <c r="AD19" s="28">
        <f>IF(AQ19="7",BH19,0)</f>
        <v>0</v>
      </c>
      <c r="AE19" s="28">
        <f>IF(AQ19="7",BI19,0)</f>
        <v>0</v>
      </c>
      <c r="AF19" s="28">
        <f>IF(AQ19="2",BH19,0)</f>
        <v>0</v>
      </c>
      <c r="AG19" s="28">
        <f>IF(AQ19="2",BI19,0)</f>
        <v>0</v>
      </c>
      <c r="AH19" s="28">
        <f>IF(AQ19="0",BJ19,0)</f>
        <v>0</v>
      </c>
      <c r="AI19" s="27" t="s">
        <v>283</v>
      </c>
      <c r="AJ19" s="18">
        <f>IF(AN19=0,M19,0)</f>
        <v>0</v>
      </c>
      <c r="AK19" s="18">
        <f>IF(AN19=15,M19,0)</f>
        <v>0</v>
      </c>
      <c r="AL19" s="18">
        <f>IF(AN19=21,M19,0)</f>
        <v>0</v>
      </c>
      <c r="AN19" s="28">
        <v>15</v>
      </c>
      <c r="AO19" s="28">
        <f>J19*0</f>
        <v>0</v>
      </c>
      <c r="AP19" s="28">
        <f>J19*(1-0)</f>
        <v>0</v>
      </c>
      <c r="AQ19" s="29" t="s">
        <v>8</v>
      </c>
      <c r="AV19" s="28">
        <f>AW19+AX19</f>
        <v>0</v>
      </c>
      <c r="AW19" s="28">
        <f>I19*AO19</f>
        <v>0</v>
      </c>
      <c r="AX19" s="28">
        <f>I19*AP19</f>
        <v>0</v>
      </c>
      <c r="AY19" s="31" t="s">
        <v>1569</v>
      </c>
      <c r="AZ19" s="31" t="s">
        <v>1613</v>
      </c>
      <c r="BA19" s="27" t="s">
        <v>1628</v>
      </c>
      <c r="BC19" s="28">
        <f>AW19+AX19</f>
        <v>0</v>
      </c>
      <c r="BD19" s="28">
        <f>J19/(100-BE19)*100</f>
        <v>0</v>
      </c>
      <c r="BE19" s="28">
        <v>0</v>
      </c>
      <c r="BF19" s="28">
        <f>19</f>
        <v>19</v>
      </c>
      <c r="BH19" s="18">
        <f>I19*AO19</f>
        <v>0</v>
      </c>
      <c r="BI19" s="18">
        <f>I19*AP19</f>
        <v>0</v>
      </c>
      <c r="BJ19" s="18">
        <f>I19*J19</f>
        <v>0</v>
      </c>
      <c r="BK19" s="18" t="s">
        <v>1634</v>
      </c>
      <c r="BL19" s="28" t="s">
        <v>288</v>
      </c>
    </row>
    <row r="20" spans="1:15" ht="12.75">
      <c r="A20" s="89"/>
      <c r="B20" s="90"/>
      <c r="C20" s="90"/>
      <c r="D20" s="84" t="s">
        <v>7</v>
      </c>
      <c r="G20" s="91"/>
      <c r="H20" s="90"/>
      <c r="I20" s="92">
        <v>1</v>
      </c>
      <c r="J20" s="90"/>
      <c r="K20" s="90"/>
      <c r="L20" s="90"/>
      <c r="M20" s="90"/>
      <c r="N20" s="79"/>
      <c r="O20" s="67"/>
    </row>
    <row r="21" spans="1:64" ht="12.75">
      <c r="A21" s="81" t="s">
        <v>10</v>
      </c>
      <c r="B21" s="81" t="s">
        <v>283</v>
      </c>
      <c r="C21" s="81" t="s">
        <v>291</v>
      </c>
      <c r="D21" s="139" t="s">
        <v>595</v>
      </c>
      <c r="E21" s="134"/>
      <c r="F21" s="134"/>
      <c r="G21" s="140"/>
      <c r="H21" s="81" t="s">
        <v>1534</v>
      </c>
      <c r="I21" s="87">
        <v>1</v>
      </c>
      <c r="J21" s="87">
        <v>0</v>
      </c>
      <c r="K21" s="87">
        <f>I21*AO21</f>
        <v>0</v>
      </c>
      <c r="L21" s="87">
        <f>I21*AP21</f>
        <v>0</v>
      </c>
      <c r="M21" s="87">
        <f>I21*J21</f>
        <v>0</v>
      </c>
      <c r="N21" s="77" t="s">
        <v>1555</v>
      </c>
      <c r="O21" s="67"/>
      <c r="Z21" s="28">
        <f>IF(AQ21="5",BJ21,0)</f>
        <v>0</v>
      </c>
      <c r="AB21" s="28">
        <f>IF(AQ21="1",BH21,0)</f>
        <v>0</v>
      </c>
      <c r="AC21" s="28">
        <f>IF(AQ21="1",BI21,0)</f>
        <v>0</v>
      </c>
      <c r="AD21" s="28">
        <f>IF(AQ21="7",BH21,0)</f>
        <v>0</v>
      </c>
      <c r="AE21" s="28">
        <f>IF(AQ21="7",BI21,0)</f>
        <v>0</v>
      </c>
      <c r="AF21" s="28">
        <f>IF(AQ21="2",BH21,0)</f>
        <v>0</v>
      </c>
      <c r="AG21" s="28">
        <f>IF(AQ21="2",BI21,0)</f>
        <v>0</v>
      </c>
      <c r="AH21" s="28">
        <f>IF(AQ21="0",BJ21,0)</f>
        <v>0</v>
      </c>
      <c r="AI21" s="27" t="s">
        <v>283</v>
      </c>
      <c r="AJ21" s="18">
        <f>IF(AN21=0,M21,0)</f>
        <v>0</v>
      </c>
      <c r="AK21" s="18">
        <f>IF(AN21=15,M21,0)</f>
        <v>0</v>
      </c>
      <c r="AL21" s="18">
        <f>IF(AN21=21,M21,0)</f>
        <v>0</v>
      </c>
      <c r="AN21" s="28">
        <v>15</v>
      </c>
      <c r="AO21" s="28">
        <f>J21*0</f>
        <v>0</v>
      </c>
      <c r="AP21" s="28">
        <f>J21*(1-0)</f>
        <v>0</v>
      </c>
      <c r="AQ21" s="29" t="s">
        <v>8</v>
      </c>
      <c r="AV21" s="28">
        <f>AW21+AX21</f>
        <v>0</v>
      </c>
      <c r="AW21" s="28">
        <f>I21*AO21</f>
        <v>0</v>
      </c>
      <c r="AX21" s="28">
        <f>I21*AP21</f>
        <v>0</v>
      </c>
      <c r="AY21" s="31" t="s">
        <v>1569</v>
      </c>
      <c r="AZ21" s="31" t="s">
        <v>1613</v>
      </c>
      <c r="BA21" s="27" t="s">
        <v>1628</v>
      </c>
      <c r="BC21" s="28">
        <f>AW21+AX21</f>
        <v>0</v>
      </c>
      <c r="BD21" s="28">
        <f>J21/(100-BE21)*100</f>
        <v>0</v>
      </c>
      <c r="BE21" s="28">
        <v>0</v>
      </c>
      <c r="BF21" s="28">
        <f>21</f>
        <v>21</v>
      </c>
      <c r="BH21" s="18">
        <f>I21*AO21</f>
        <v>0</v>
      </c>
      <c r="BI21" s="18">
        <f>I21*AP21</f>
        <v>0</v>
      </c>
      <c r="BJ21" s="18">
        <f>I21*J21</f>
        <v>0</v>
      </c>
      <c r="BK21" s="18" t="s">
        <v>1634</v>
      </c>
      <c r="BL21" s="28" t="s">
        <v>288</v>
      </c>
    </row>
    <row r="22" spans="1:64" ht="12.75">
      <c r="A22" s="81" t="s">
        <v>11</v>
      </c>
      <c r="B22" s="81" t="s">
        <v>283</v>
      </c>
      <c r="C22" s="81" t="s">
        <v>292</v>
      </c>
      <c r="D22" s="139" t="s">
        <v>596</v>
      </c>
      <c r="E22" s="134"/>
      <c r="F22" s="134"/>
      <c r="G22" s="140"/>
      <c r="H22" s="81" t="s">
        <v>1534</v>
      </c>
      <c r="I22" s="87">
        <v>1</v>
      </c>
      <c r="J22" s="87">
        <v>0</v>
      </c>
      <c r="K22" s="87">
        <f>I22*AO22</f>
        <v>0</v>
      </c>
      <c r="L22" s="87">
        <f>I22*AP22</f>
        <v>0</v>
      </c>
      <c r="M22" s="87">
        <f>I22*J22</f>
        <v>0</v>
      </c>
      <c r="N22" s="77" t="s">
        <v>1555</v>
      </c>
      <c r="O22" s="67"/>
      <c r="Z22" s="28">
        <f>IF(AQ22="5",BJ22,0)</f>
        <v>0</v>
      </c>
      <c r="AB22" s="28">
        <f>IF(AQ22="1",BH22,0)</f>
        <v>0</v>
      </c>
      <c r="AC22" s="28">
        <f>IF(AQ22="1",BI22,0)</f>
        <v>0</v>
      </c>
      <c r="AD22" s="28">
        <f>IF(AQ22="7",BH22,0)</f>
        <v>0</v>
      </c>
      <c r="AE22" s="28">
        <f>IF(AQ22="7",BI22,0)</f>
        <v>0</v>
      </c>
      <c r="AF22" s="28">
        <f>IF(AQ22="2",BH22,0)</f>
        <v>0</v>
      </c>
      <c r="AG22" s="28">
        <f>IF(AQ22="2",BI22,0)</f>
        <v>0</v>
      </c>
      <c r="AH22" s="28">
        <f>IF(AQ22="0",BJ22,0)</f>
        <v>0</v>
      </c>
      <c r="AI22" s="27" t="s">
        <v>283</v>
      </c>
      <c r="AJ22" s="18">
        <f>IF(AN22=0,M22,0)</f>
        <v>0</v>
      </c>
      <c r="AK22" s="18">
        <f>IF(AN22=15,M22,0)</f>
        <v>0</v>
      </c>
      <c r="AL22" s="18">
        <f>IF(AN22=21,M22,0)</f>
        <v>0</v>
      </c>
      <c r="AN22" s="28">
        <v>15</v>
      </c>
      <c r="AO22" s="28">
        <f>J22*0</f>
        <v>0</v>
      </c>
      <c r="AP22" s="28">
        <f>J22*(1-0)</f>
        <v>0</v>
      </c>
      <c r="AQ22" s="29" t="s">
        <v>8</v>
      </c>
      <c r="AV22" s="28">
        <f>AW22+AX22</f>
        <v>0</v>
      </c>
      <c r="AW22" s="28">
        <f>I22*AO22</f>
        <v>0</v>
      </c>
      <c r="AX22" s="28">
        <f>I22*AP22</f>
        <v>0</v>
      </c>
      <c r="AY22" s="31" t="s">
        <v>1569</v>
      </c>
      <c r="AZ22" s="31" t="s">
        <v>1613</v>
      </c>
      <c r="BA22" s="27" t="s">
        <v>1628</v>
      </c>
      <c r="BC22" s="28">
        <f>AW22+AX22</f>
        <v>0</v>
      </c>
      <c r="BD22" s="28">
        <f>J22/(100-BE22)*100</f>
        <v>0</v>
      </c>
      <c r="BE22" s="28">
        <v>0</v>
      </c>
      <c r="BF22" s="28">
        <f>22</f>
        <v>22</v>
      </c>
      <c r="BH22" s="18">
        <f>I22*AO22</f>
        <v>0</v>
      </c>
      <c r="BI22" s="18">
        <f>I22*AP22</f>
        <v>0</v>
      </c>
      <c r="BJ22" s="18">
        <f>I22*J22</f>
        <v>0</v>
      </c>
      <c r="BK22" s="18" t="s">
        <v>1634</v>
      </c>
      <c r="BL22" s="28" t="s">
        <v>288</v>
      </c>
    </row>
    <row r="23" spans="1:64" ht="12.75">
      <c r="A23" s="74" t="s">
        <v>12</v>
      </c>
      <c r="B23" s="74" t="s">
        <v>283</v>
      </c>
      <c r="C23" s="74" t="s">
        <v>293</v>
      </c>
      <c r="D23" s="133" t="s">
        <v>597</v>
      </c>
      <c r="E23" s="134"/>
      <c r="F23" s="134"/>
      <c r="G23" s="135"/>
      <c r="H23" s="74" t="s">
        <v>1534</v>
      </c>
      <c r="I23" s="75">
        <v>1</v>
      </c>
      <c r="J23" s="75">
        <v>0</v>
      </c>
      <c r="K23" s="75">
        <f>I23*AO23</f>
        <v>0</v>
      </c>
      <c r="L23" s="75">
        <f>I23*AP23</f>
        <v>0</v>
      </c>
      <c r="M23" s="75">
        <f>I23*J23</f>
        <v>0</v>
      </c>
      <c r="N23" s="78" t="s">
        <v>1555</v>
      </c>
      <c r="O23" s="67"/>
      <c r="Z23" s="28">
        <f>IF(AQ23="5",BJ23,0)</f>
        <v>0</v>
      </c>
      <c r="AB23" s="28">
        <f>IF(AQ23="1",BH23,0)</f>
        <v>0</v>
      </c>
      <c r="AC23" s="28">
        <f>IF(AQ23="1",BI23,0)</f>
        <v>0</v>
      </c>
      <c r="AD23" s="28">
        <f>IF(AQ23="7",BH23,0)</f>
        <v>0</v>
      </c>
      <c r="AE23" s="28">
        <f>IF(AQ23="7",BI23,0)</f>
        <v>0</v>
      </c>
      <c r="AF23" s="28">
        <f>IF(AQ23="2",BH23,0)</f>
        <v>0</v>
      </c>
      <c r="AG23" s="28">
        <f>IF(AQ23="2",BI23,0)</f>
        <v>0</v>
      </c>
      <c r="AH23" s="28">
        <f>IF(AQ23="0",BJ23,0)</f>
        <v>0</v>
      </c>
      <c r="AI23" s="27" t="s">
        <v>283</v>
      </c>
      <c r="AJ23" s="18">
        <f>IF(AN23=0,M23,0)</f>
        <v>0</v>
      </c>
      <c r="AK23" s="18">
        <f>IF(AN23=15,M23,0)</f>
        <v>0</v>
      </c>
      <c r="AL23" s="18">
        <f>IF(AN23=21,M23,0)</f>
        <v>0</v>
      </c>
      <c r="AN23" s="28">
        <v>15</v>
      </c>
      <c r="AO23" s="28">
        <f>J23*0</f>
        <v>0</v>
      </c>
      <c r="AP23" s="28">
        <f>J23*(1-0)</f>
        <v>0</v>
      </c>
      <c r="AQ23" s="29" t="s">
        <v>8</v>
      </c>
      <c r="AV23" s="28">
        <f>AW23+AX23</f>
        <v>0</v>
      </c>
      <c r="AW23" s="28">
        <f>I23*AO23</f>
        <v>0</v>
      </c>
      <c r="AX23" s="28">
        <f>I23*AP23</f>
        <v>0</v>
      </c>
      <c r="AY23" s="31" t="s">
        <v>1569</v>
      </c>
      <c r="AZ23" s="31" t="s">
        <v>1613</v>
      </c>
      <c r="BA23" s="27" t="s">
        <v>1628</v>
      </c>
      <c r="BC23" s="28">
        <f>AW23+AX23</f>
        <v>0</v>
      </c>
      <c r="BD23" s="28">
        <f>J23/(100-BE23)*100</f>
        <v>0</v>
      </c>
      <c r="BE23" s="28">
        <v>0</v>
      </c>
      <c r="BF23" s="28">
        <f>23</f>
        <v>23</v>
      </c>
      <c r="BH23" s="18">
        <f>I23*AO23</f>
        <v>0</v>
      </c>
      <c r="BI23" s="18">
        <f>I23*AP23</f>
        <v>0</v>
      </c>
      <c r="BJ23" s="18">
        <f>I23*J23</f>
        <v>0</v>
      </c>
      <c r="BK23" s="18" t="s">
        <v>1634</v>
      </c>
      <c r="BL23" s="28" t="s">
        <v>288</v>
      </c>
    </row>
    <row r="24" spans="1:64" ht="12.75">
      <c r="A24" s="2" t="s">
        <v>13</v>
      </c>
      <c r="B24" s="9" t="s">
        <v>283</v>
      </c>
      <c r="C24" s="9" t="s">
        <v>294</v>
      </c>
      <c r="D24" s="141" t="s">
        <v>598</v>
      </c>
      <c r="E24" s="134"/>
      <c r="F24" s="134"/>
      <c r="G24" s="134"/>
      <c r="H24" s="9" t="s">
        <v>1534</v>
      </c>
      <c r="I24" s="18">
        <v>1</v>
      </c>
      <c r="J24" s="18">
        <v>0</v>
      </c>
      <c r="K24" s="18">
        <f>I24*AO24</f>
        <v>0</v>
      </c>
      <c r="L24" s="18">
        <f>I24*AP24</f>
        <v>0</v>
      </c>
      <c r="M24" s="18">
        <f>I24*J24</f>
        <v>0</v>
      </c>
      <c r="N24" s="23" t="s">
        <v>1555</v>
      </c>
      <c r="O24" s="3"/>
      <c r="Z24" s="28">
        <f>IF(AQ24="5",BJ24,0)</f>
        <v>0</v>
      </c>
      <c r="AB24" s="28">
        <f>IF(AQ24="1",BH24,0)</f>
        <v>0</v>
      </c>
      <c r="AC24" s="28">
        <f>IF(AQ24="1",BI24,0)</f>
        <v>0</v>
      </c>
      <c r="AD24" s="28">
        <f>IF(AQ24="7",BH24,0)</f>
        <v>0</v>
      </c>
      <c r="AE24" s="28">
        <f>IF(AQ24="7",BI24,0)</f>
        <v>0</v>
      </c>
      <c r="AF24" s="28">
        <f>IF(AQ24="2",BH24,0)</f>
        <v>0</v>
      </c>
      <c r="AG24" s="28">
        <f>IF(AQ24="2",BI24,0)</f>
        <v>0</v>
      </c>
      <c r="AH24" s="28">
        <f>IF(AQ24="0",BJ24,0)</f>
        <v>0</v>
      </c>
      <c r="AI24" s="27" t="s">
        <v>283</v>
      </c>
      <c r="AJ24" s="18">
        <f>IF(AN24=0,M24,0)</f>
        <v>0</v>
      </c>
      <c r="AK24" s="18">
        <f>IF(AN24=15,M24,0)</f>
        <v>0</v>
      </c>
      <c r="AL24" s="18">
        <f>IF(AN24=21,M24,0)</f>
        <v>0</v>
      </c>
      <c r="AN24" s="28">
        <v>15</v>
      </c>
      <c r="AO24" s="28">
        <f>J24*0</f>
        <v>0</v>
      </c>
      <c r="AP24" s="28">
        <f>J24*(1-0)</f>
        <v>0</v>
      </c>
      <c r="AQ24" s="29" t="s">
        <v>8</v>
      </c>
      <c r="AV24" s="28">
        <f>AW24+AX24</f>
        <v>0</v>
      </c>
      <c r="AW24" s="28">
        <f>I24*AO24</f>
        <v>0</v>
      </c>
      <c r="AX24" s="28">
        <f>I24*AP24</f>
        <v>0</v>
      </c>
      <c r="AY24" s="31" t="s">
        <v>1569</v>
      </c>
      <c r="AZ24" s="31" t="s">
        <v>1613</v>
      </c>
      <c r="BA24" s="27" t="s">
        <v>1628</v>
      </c>
      <c r="BC24" s="28">
        <f>AW24+AX24</f>
        <v>0</v>
      </c>
      <c r="BD24" s="28">
        <f>J24/(100-BE24)*100</f>
        <v>0</v>
      </c>
      <c r="BE24" s="28">
        <v>0</v>
      </c>
      <c r="BF24" s="28">
        <f>24</f>
        <v>24</v>
      </c>
      <c r="BH24" s="18">
        <f>I24*AO24</f>
        <v>0</v>
      </c>
      <c r="BI24" s="18">
        <f>I24*AP24</f>
        <v>0</v>
      </c>
      <c r="BJ24" s="18">
        <f>I24*J24</f>
        <v>0</v>
      </c>
      <c r="BK24" s="18" t="s">
        <v>1634</v>
      </c>
      <c r="BL24" s="28" t="s">
        <v>288</v>
      </c>
    </row>
    <row r="25" spans="1:47" ht="12.75">
      <c r="A25" s="72"/>
      <c r="B25" s="73" t="s">
        <v>283</v>
      </c>
      <c r="C25" s="73" t="s">
        <v>17</v>
      </c>
      <c r="D25" s="130" t="s">
        <v>599</v>
      </c>
      <c r="E25" s="131"/>
      <c r="F25" s="131"/>
      <c r="G25" s="132"/>
      <c r="H25" s="72" t="s">
        <v>6</v>
      </c>
      <c r="I25" s="72" t="s">
        <v>6</v>
      </c>
      <c r="J25" s="72" t="s">
        <v>6</v>
      </c>
      <c r="K25" s="76">
        <f>SUM(K26:K30)</f>
        <v>0</v>
      </c>
      <c r="L25" s="76">
        <f>SUM(L26:L30)</f>
        <v>0</v>
      </c>
      <c r="M25" s="76">
        <f>SUM(M26:M30)</f>
        <v>0</v>
      </c>
      <c r="N25" s="71"/>
      <c r="O25" s="67"/>
      <c r="AI25" s="27" t="s">
        <v>283</v>
      </c>
      <c r="AS25" s="33">
        <f>SUM(AJ26:AJ30)</f>
        <v>0</v>
      </c>
      <c r="AT25" s="33">
        <f>SUM(AK26:AK30)</f>
        <v>0</v>
      </c>
      <c r="AU25" s="33">
        <f>SUM(AL26:AL30)</f>
        <v>0</v>
      </c>
    </row>
    <row r="26" spans="1:64" ht="12.75">
      <c r="A26" s="81" t="s">
        <v>14</v>
      </c>
      <c r="B26" s="81" t="s">
        <v>283</v>
      </c>
      <c r="C26" s="81" t="s">
        <v>295</v>
      </c>
      <c r="D26" s="139" t="s">
        <v>600</v>
      </c>
      <c r="E26" s="134"/>
      <c r="F26" s="134"/>
      <c r="G26" s="140"/>
      <c r="H26" s="81" t="s">
        <v>1535</v>
      </c>
      <c r="I26" s="87">
        <v>19.75</v>
      </c>
      <c r="J26" s="87">
        <v>0</v>
      </c>
      <c r="K26" s="87">
        <f>I26*AO26</f>
        <v>0</v>
      </c>
      <c r="L26" s="87">
        <f>I26*AP26</f>
        <v>0</v>
      </c>
      <c r="M26" s="87">
        <f>I26*J26</f>
        <v>0</v>
      </c>
      <c r="N26" s="77" t="s">
        <v>1556</v>
      </c>
      <c r="O26" s="67"/>
      <c r="Z26" s="28">
        <f>IF(AQ26="5",BJ26,0)</f>
        <v>0</v>
      </c>
      <c r="AB26" s="28">
        <f>IF(AQ26="1",BH26,0)</f>
        <v>0</v>
      </c>
      <c r="AC26" s="28">
        <f>IF(AQ26="1",BI26,0)</f>
        <v>0</v>
      </c>
      <c r="AD26" s="28">
        <f>IF(AQ26="7",BH26,0)</f>
        <v>0</v>
      </c>
      <c r="AE26" s="28">
        <f>IF(AQ26="7",BI26,0)</f>
        <v>0</v>
      </c>
      <c r="AF26" s="28">
        <f>IF(AQ26="2",BH26,0)</f>
        <v>0</v>
      </c>
      <c r="AG26" s="28">
        <f>IF(AQ26="2",BI26,0)</f>
        <v>0</v>
      </c>
      <c r="AH26" s="28">
        <f>IF(AQ26="0",BJ26,0)</f>
        <v>0</v>
      </c>
      <c r="AI26" s="27" t="s">
        <v>283</v>
      </c>
      <c r="AJ26" s="18">
        <f>IF(AN26=0,M26,0)</f>
        <v>0</v>
      </c>
      <c r="AK26" s="18">
        <f>IF(AN26=15,M26,0)</f>
        <v>0</v>
      </c>
      <c r="AL26" s="18">
        <f>IF(AN26=21,M26,0)</f>
        <v>0</v>
      </c>
      <c r="AN26" s="28">
        <v>15</v>
      </c>
      <c r="AO26" s="28">
        <f>J26*0</f>
        <v>0</v>
      </c>
      <c r="AP26" s="28">
        <f>J26*(1-0)</f>
        <v>0</v>
      </c>
      <c r="AQ26" s="29" t="s">
        <v>7</v>
      </c>
      <c r="AV26" s="28">
        <f>AW26+AX26</f>
        <v>0</v>
      </c>
      <c r="AW26" s="28">
        <f>I26*AO26</f>
        <v>0</v>
      </c>
      <c r="AX26" s="28">
        <f>I26*AP26</f>
        <v>0</v>
      </c>
      <c r="AY26" s="31" t="s">
        <v>1570</v>
      </c>
      <c r="AZ26" s="31" t="s">
        <v>1614</v>
      </c>
      <c r="BA26" s="27" t="s">
        <v>1628</v>
      </c>
      <c r="BC26" s="28">
        <f>AW26+AX26</f>
        <v>0</v>
      </c>
      <c r="BD26" s="28">
        <f>J26/(100-BE26)*100</f>
        <v>0</v>
      </c>
      <c r="BE26" s="28">
        <v>0</v>
      </c>
      <c r="BF26" s="28">
        <f>26</f>
        <v>26</v>
      </c>
      <c r="BH26" s="18">
        <f>I26*AO26</f>
        <v>0</v>
      </c>
      <c r="BI26" s="18">
        <f>I26*AP26</f>
        <v>0</v>
      </c>
      <c r="BJ26" s="18">
        <f>I26*J26</f>
        <v>0</v>
      </c>
      <c r="BK26" s="18" t="s">
        <v>1634</v>
      </c>
      <c r="BL26" s="28">
        <v>11</v>
      </c>
    </row>
    <row r="27" spans="1:15" ht="12.75">
      <c r="A27" s="89"/>
      <c r="B27" s="90"/>
      <c r="C27" s="90"/>
      <c r="D27" s="84" t="s">
        <v>601</v>
      </c>
      <c r="G27" s="91" t="s">
        <v>1332</v>
      </c>
      <c r="H27" s="90"/>
      <c r="I27" s="92">
        <v>14.05</v>
      </c>
      <c r="J27" s="90"/>
      <c r="K27" s="90"/>
      <c r="L27" s="90"/>
      <c r="M27" s="90"/>
      <c r="N27" s="79"/>
      <c r="O27" s="67"/>
    </row>
    <row r="28" spans="1:15" ht="12.75">
      <c r="A28" s="82"/>
      <c r="B28" s="83"/>
      <c r="C28" s="83"/>
      <c r="D28" s="85" t="s">
        <v>602</v>
      </c>
      <c r="G28" s="86" t="s">
        <v>1333</v>
      </c>
      <c r="H28" s="83"/>
      <c r="I28" s="88">
        <v>5.7</v>
      </c>
      <c r="J28" s="83"/>
      <c r="K28" s="83"/>
      <c r="L28" s="83"/>
      <c r="M28" s="83"/>
      <c r="N28" s="80"/>
      <c r="O28" s="67"/>
    </row>
    <row r="29" spans="1:15" ht="12.75">
      <c r="A29" s="3"/>
      <c r="C29" s="12" t="s">
        <v>296</v>
      </c>
      <c r="D29" s="142" t="s">
        <v>603</v>
      </c>
      <c r="E29" s="143"/>
      <c r="F29" s="143"/>
      <c r="G29" s="143"/>
      <c r="H29" s="143"/>
      <c r="I29" s="143"/>
      <c r="J29" s="143"/>
      <c r="K29" s="143"/>
      <c r="L29" s="143"/>
      <c r="M29" s="143"/>
      <c r="N29" s="144"/>
      <c r="O29" s="3"/>
    </row>
    <row r="30" spans="1:64" ht="12.75">
      <c r="A30" s="81" t="s">
        <v>15</v>
      </c>
      <c r="B30" s="81" t="s">
        <v>283</v>
      </c>
      <c r="C30" s="81" t="s">
        <v>297</v>
      </c>
      <c r="D30" s="139" t="s">
        <v>604</v>
      </c>
      <c r="E30" s="134"/>
      <c r="F30" s="134"/>
      <c r="G30" s="140"/>
      <c r="H30" s="81" t="s">
        <v>1535</v>
      </c>
      <c r="I30" s="87">
        <v>11.865</v>
      </c>
      <c r="J30" s="87">
        <v>0</v>
      </c>
      <c r="K30" s="87">
        <f>I30*AO30</f>
        <v>0</v>
      </c>
      <c r="L30" s="87">
        <f>I30*AP30</f>
        <v>0</v>
      </c>
      <c r="M30" s="87">
        <f>I30*J30</f>
        <v>0</v>
      </c>
      <c r="N30" s="77" t="s">
        <v>1556</v>
      </c>
      <c r="O30" s="67"/>
      <c r="Z30" s="28">
        <f>IF(AQ30="5",BJ30,0)</f>
        <v>0</v>
      </c>
      <c r="AB30" s="28">
        <f>IF(AQ30="1",BH30,0)</f>
        <v>0</v>
      </c>
      <c r="AC30" s="28">
        <f>IF(AQ30="1",BI30,0)</f>
        <v>0</v>
      </c>
      <c r="AD30" s="28">
        <f>IF(AQ30="7",BH30,0)</f>
        <v>0</v>
      </c>
      <c r="AE30" s="28">
        <f>IF(AQ30="7",BI30,0)</f>
        <v>0</v>
      </c>
      <c r="AF30" s="28">
        <f>IF(AQ30="2",BH30,0)</f>
        <v>0</v>
      </c>
      <c r="AG30" s="28">
        <f>IF(AQ30="2",BI30,0)</f>
        <v>0</v>
      </c>
      <c r="AH30" s="28">
        <f>IF(AQ30="0",BJ30,0)</f>
        <v>0</v>
      </c>
      <c r="AI30" s="27" t="s">
        <v>283</v>
      </c>
      <c r="AJ30" s="18">
        <f>IF(AN30=0,M30,0)</f>
        <v>0</v>
      </c>
      <c r="AK30" s="18">
        <f>IF(AN30=15,M30,0)</f>
        <v>0</v>
      </c>
      <c r="AL30" s="18">
        <f>IF(AN30=21,M30,0)</f>
        <v>0</v>
      </c>
      <c r="AN30" s="28">
        <v>15</v>
      </c>
      <c r="AO30" s="28">
        <f>J30*0</f>
        <v>0</v>
      </c>
      <c r="AP30" s="28">
        <f>J30*(1-0)</f>
        <v>0</v>
      </c>
      <c r="AQ30" s="29" t="s">
        <v>7</v>
      </c>
      <c r="AV30" s="28">
        <f>AW30+AX30</f>
        <v>0</v>
      </c>
      <c r="AW30" s="28">
        <f>I30*AO30</f>
        <v>0</v>
      </c>
      <c r="AX30" s="28">
        <f>I30*AP30</f>
        <v>0</v>
      </c>
      <c r="AY30" s="31" t="s">
        <v>1570</v>
      </c>
      <c r="AZ30" s="31" t="s">
        <v>1614</v>
      </c>
      <c r="BA30" s="27" t="s">
        <v>1628</v>
      </c>
      <c r="BC30" s="28">
        <f>AW30+AX30</f>
        <v>0</v>
      </c>
      <c r="BD30" s="28">
        <f>J30/(100-BE30)*100</f>
        <v>0</v>
      </c>
      <c r="BE30" s="28">
        <v>0</v>
      </c>
      <c r="BF30" s="28">
        <f>30</f>
        <v>30</v>
      </c>
      <c r="BH30" s="18">
        <f>I30*AO30</f>
        <v>0</v>
      </c>
      <c r="BI30" s="18">
        <f>I30*AP30</f>
        <v>0</v>
      </c>
      <c r="BJ30" s="18">
        <f>I30*J30</f>
        <v>0</v>
      </c>
      <c r="BK30" s="18" t="s">
        <v>1634</v>
      </c>
      <c r="BL30" s="28">
        <v>11</v>
      </c>
    </row>
    <row r="31" spans="1:15" ht="12.75">
      <c r="A31" s="82"/>
      <c r="B31" s="83"/>
      <c r="C31" s="83"/>
      <c r="D31" s="85" t="s">
        <v>605</v>
      </c>
      <c r="G31" s="86" t="s">
        <v>1334</v>
      </c>
      <c r="H31" s="83"/>
      <c r="I31" s="88">
        <v>11.865</v>
      </c>
      <c r="J31" s="83"/>
      <c r="K31" s="83"/>
      <c r="L31" s="83"/>
      <c r="M31" s="83"/>
      <c r="N31" s="80"/>
      <c r="O31" s="67"/>
    </row>
    <row r="32" spans="1:15" ht="12.75">
      <c r="A32" s="3"/>
      <c r="C32" s="12" t="s">
        <v>296</v>
      </c>
      <c r="D32" s="142" t="s">
        <v>603</v>
      </c>
      <c r="E32" s="143"/>
      <c r="F32" s="143"/>
      <c r="G32" s="143"/>
      <c r="H32" s="143"/>
      <c r="I32" s="143"/>
      <c r="J32" s="143"/>
      <c r="K32" s="143"/>
      <c r="L32" s="143"/>
      <c r="M32" s="143"/>
      <c r="N32" s="144"/>
      <c r="O32" s="3"/>
    </row>
    <row r="33" spans="1:47" ht="12.75">
      <c r="A33" s="72"/>
      <c r="B33" s="73" t="s">
        <v>283</v>
      </c>
      <c r="C33" s="73" t="s">
        <v>19</v>
      </c>
      <c r="D33" s="130" t="s">
        <v>606</v>
      </c>
      <c r="E33" s="131"/>
      <c r="F33" s="131"/>
      <c r="G33" s="132"/>
      <c r="H33" s="72" t="s">
        <v>6</v>
      </c>
      <c r="I33" s="72" t="s">
        <v>6</v>
      </c>
      <c r="J33" s="72" t="s">
        <v>6</v>
      </c>
      <c r="K33" s="76">
        <f>SUM(K34:K34)</f>
        <v>0</v>
      </c>
      <c r="L33" s="76">
        <f>SUM(L34:L34)</f>
        <v>0</v>
      </c>
      <c r="M33" s="76">
        <f>SUM(M34:M34)</f>
        <v>0</v>
      </c>
      <c r="N33" s="71"/>
      <c r="O33" s="67"/>
      <c r="AI33" s="27" t="s">
        <v>283</v>
      </c>
      <c r="AS33" s="33">
        <f>SUM(AJ34:AJ34)</f>
        <v>0</v>
      </c>
      <c r="AT33" s="33">
        <f>SUM(AK34:AK34)</f>
        <v>0</v>
      </c>
      <c r="AU33" s="33">
        <f>SUM(AL34:AL34)</f>
        <v>0</v>
      </c>
    </row>
    <row r="34" spans="1:64" ht="12.75">
      <c r="A34" s="74" t="s">
        <v>16</v>
      </c>
      <c r="B34" s="74" t="s">
        <v>283</v>
      </c>
      <c r="C34" s="74" t="s">
        <v>298</v>
      </c>
      <c r="D34" s="133" t="s">
        <v>607</v>
      </c>
      <c r="E34" s="134"/>
      <c r="F34" s="134"/>
      <c r="G34" s="135"/>
      <c r="H34" s="74" t="s">
        <v>1536</v>
      </c>
      <c r="I34" s="75">
        <v>21.425</v>
      </c>
      <c r="J34" s="75">
        <v>0</v>
      </c>
      <c r="K34" s="75">
        <f>I34*AO34</f>
        <v>0</v>
      </c>
      <c r="L34" s="75">
        <f>I34*AP34</f>
        <v>0</v>
      </c>
      <c r="M34" s="75">
        <f>I34*J34</f>
        <v>0</v>
      </c>
      <c r="N34" s="78" t="s">
        <v>1556</v>
      </c>
      <c r="O34" s="67"/>
      <c r="Z34" s="28">
        <f>IF(AQ34="5",BJ34,0)</f>
        <v>0</v>
      </c>
      <c r="AB34" s="28">
        <f>IF(AQ34="1",BH34,0)</f>
        <v>0</v>
      </c>
      <c r="AC34" s="28">
        <f>IF(AQ34="1",BI34,0)</f>
        <v>0</v>
      </c>
      <c r="AD34" s="28">
        <f>IF(AQ34="7",BH34,0)</f>
        <v>0</v>
      </c>
      <c r="AE34" s="28">
        <f>IF(AQ34="7",BI34,0)</f>
        <v>0</v>
      </c>
      <c r="AF34" s="28">
        <f>IF(AQ34="2",BH34,0)</f>
        <v>0</v>
      </c>
      <c r="AG34" s="28">
        <f>IF(AQ34="2",BI34,0)</f>
        <v>0</v>
      </c>
      <c r="AH34" s="28">
        <f>IF(AQ34="0",BJ34,0)</f>
        <v>0</v>
      </c>
      <c r="AI34" s="27" t="s">
        <v>283</v>
      </c>
      <c r="AJ34" s="18">
        <f>IF(AN34=0,M34,0)</f>
        <v>0</v>
      </c>
      <c r="AK34" s="18">
        <f>IF(AN34=15,M34,0)</f>
        <v>0</v>
      </c>
      <c r="AL34" s="18">
        <f>IF(AN34=21,M34,0)</f>
        <v>0</v>
      </c>
      <c r="AN34" s="28">
        <v>15</v>
      </c>
      <c r="AO34" s="28">
        <f>J34*0</f>
        <v>0</v>
      </c>
      <c r="AP34" s="28">
        <f>J34*(1-0)</f>
        <v>0</v>
      </c>
      <c r="AQ34" s="29" t="s">
        <v>7</v>
      </c>
      <c r="AV34" s="28">
        <f>AW34+AX34</f>
        <v>0</v>
      </c>
      <c r="AW34" s="28">
        <f>I34*AO34</f>
        <v>0</v>
      </c>
      <c r="AX34" s="28">
        <f>I34*AP34</f>
        <v>0</v>
      </c>
      <c r="AY34" s="31" t="s">
        <v>1571</v>
      </c>
      <c r="AZ34" s="31" t="s">
        <v>1614</v>
      </c>
      <c r="BA34" s="27" t="s">
        <v>1628</v>
      </c>
      <c r="BC34" s="28">
        <f>AW34+AX34</f>
        <v>0</v>
      </c>
      <c r="BD34" s="28">
        <f>J34/(100-BE34)*100</f>
        <v>0</v>
      </c>
      <c r="BE34" s="28">
        <v>0</v>
      </c>
      <c r="BF34" s="28">
        <f>34</f>
        <v>34</v>
      </c>
      <c r="BH34" s="18">
        <f>I34*AO34</f>
        <v>0</v>
      </c>
      <c r="BI34" s="18">
        <f>I34*AP34</f>
        <v>0</v>
      </c>
      <c r="BJ34" s="18">
        <f>I34*J34</f>
        <v>0</v>
      </c>
      <c r="BK34" s="18" t="s">
        <v>1634</v>
      </c>
      <c r="BL34" s="28">
        <v>13</v>
      </c>
    </row>
    <row r="35" spans="1:15" ht="12.75">
      <c r="A35" s="3"/>
      <c r="D35" s="136" t="s">
        <v>608</v>
      </c>
      <c r="E35" s="137"/>
      <c r="F35" s="137"/>
      <c r="G35" s="137"/>
      <c r="H35" s="137"/>
      <c r="I35" s="137"/>
      <c r="J35" s="137"/>
      <c r="K35" s="137"/>
      <c r="L35" s="137"/>
      <c r="M35" s="137"/>
      <c r="N35" s="138"/>
      <c r="O35" s="3"/>
    </row>
    <row r="36" spans="1:15" ht="12.75">
      <c r="A36" s="89"/>
      <c r="B36" s="90"/>
      <c r="C36" s="90"/>
      <c r="D36" s="84" t="s">
        <v>609</v>
      </c>
      <c r="G36" s="91" t="s">
        <v>1335</v>
      </c>
      <c r="H36" s="90"/>
      <c r="I36" s="92">
        <v>9.875</v>
      </c>
      <c r="J36" s="90"/>
      <c r="K36" s="90"/>
      <c r="L36" s="90"/>
      <c r="M36" s="90"/>
      <c r="N36" s="79"/>
      <c r="O36" s="67"/>
    </row>
    <row r="37" spans="1:15" ht="12.75">
      <c r="A37" s="89"/>
      <c r="B37" s="90"/>
      <c r="C37" s="90"/>
      <c r="D37" s="84" t="s">
        <v>610</v>
      </c>
      <c r="G37" s="91" t="s">
        <v>1334</v>
      </c>
      <c r="H37" s="90"/>
      <c r="I37" s="92">
        <v>5.9325</v>
      </c>
      <c r="J37" s="90"/>
      <c r="K37" s="90"/>
      <c r="L37" s="90"/>
      <c r="M37" s="90"/>
      <c r="N37" s="79"/>
      <c r="O37" s="67"/>
    </row>
    <row r="38" spans="1:15" ht="12.75">
      <c r="A38" s="82"/>
      <c r="B38" s="83"/>
      <c r="C38" s="83"/>
      <c r="D38" s="85" t="s">
        <v>611</v>
      </c>
      <c r="G38" s="86" t="s">
        <v>1336</v>
      </c>
      <c r="H38" s="83"/>
      <c r="I38" s="88">
        <v>5.6175</v>
      </c>
      <c r="J38" s="83"/>
      <c r="K38" s="83"/>
      <c r="L38" s="83"/>
      <c r="M38" s="83"/>
      <c r="N38" s="80"/>
      <c r="O38" s="67"/>
    </row>
    <row r="39" spans="1:15" ht="12.75">
      <c r="A39" s="3"/>
      <c r="C39" s="12" t="s">
        <v>296</v>
      </c>
      <c r="D39" s="142" t="s">
        <v>603</v>
      </c>
      <c r="E39" s="143"/>
      <c r="F39" s="143"/>
      <c r="G39" s="143"/>
      <c r="H39" s="143"/>
      <c r="I39" s="143"/>
      <c r="J39" s="143"/>
      <c r="K39" s="143"/>
      <c r="L39" s="143"/>
      <c r="M39" s="143"/>
      <c r="N39" s="144"/>
      <c r="O39" s="3"/>
    </row>
    <row r="40" spans="1:47" ht="12.75">
      <c r="A40" s="72"/>
      <c r="B40" s="73" t="s">
        <v>283</v>
      </c>
      <c r="C40" s="73" t="s">
        <v>22</v>
      </c>
      <c r="D40" s="130" t="s">
        <v>612</v>
      </c>
      <c r="E40" s="131"/>
      <c r="F40" s="131"/>
      <c r="G40" s="132"/>
      <c r="H40" s="72" t="s">
        <v>6</v>
      </c>
      <c r="I40" s="72" t="s">
        <v>6</v>
      </c>
      <c r="J40" s="72" t="s">
        <v>6</v>
      </c>
      <c r="K40" s="76">
        <f>SUM(K41:K45)</f>
        <v>0</v>
      </c>
      <c r="L40" s="76">
        <f>SUM(L41:L45)</f>
        <v>0</v>
      </c>
      <c r="M40" s="76">
        <f>SUM(M41:M45)</f>
        <v>0</v>
      </c>
      <c r="N40" s="71"/>
      <c r="O40" s="67"/>
      <c r="AI40" s="27" t="s">
        <v>283</v>
      </c>
      <c r="AS40" s="33">
        <f>SUM(AJ41:AJ45)</f>
        <v>0</v>
      </c>
      <c r="AT40" s="33">
        <f>SUM(AK41:AK45)</f>
        <v>0</v>
      </c>
      <c r="AU40" s="33">
        <f>SUM(AL41:AL45)</f>
        <v>0</v>
      </c>
    </row>
    <row r="41" spans="1:64" ht="12.75">
      <c r="A41" s="81" t="s">
        <v>17</v>
      </c>
      <c r="B41" s="81" t="s">
        <v>283</v>
      </c>
      <c r="C41" s="81" t="s">
        <v>299</v>
      </c>
      <c r="D41" s="139" t="s">
        <v>613</v>
      </c>
      <c r="E41" s="134"/>
      <c r="F41" s="134"/>
      <c r="G41" s="140"/>
      <c r="H41" s="81" t="s">
        <v>1536</v>
      </c>
      <c r="I41" s="87">
        <v>6.4275</v>
      </c>
      <c r="J41" s="87">
        <v>0</v>
      </c>
      <c r="K41" s="87">
        <f>I41*AO41</f>
        <v>0</v>
      </c>
      <c r="L41" s="87">
        <f>I41*AP41</f>
        <v>0</v>
      </c>
      <c r="M41" s="87">
        <f>I41*J41</f>
        <v>0</v>
      </c>
      <c r="N41" s="77" t="s">
        <v>1556</v>
      </c>
      <c r="O41" s="67"/>
      <c r="Z41" s="28">
        <f>IF(AQ41="5",BJ41,0)</f>
        <v>0</v>
      </c>
      <c r="AB41" s="28">
        <f>IF(AQ41="1",BH41,0)</f>
        <v>0</v>
      </c>
      <c r="AC41" s="28">
        <f>IF(AQ41="1",BI41,0)</f>
        <v>0</v>
      </c>
      <c r="AD41" s="28">
        <f>IF(AQ41="7",BH41,0)</f>
        <v>0</v>
      </c>
      <c r="AE41" s="28">
        <f>IF(AQ41="7",BI41,0)</f>
        <v>0</v>
      </c>
      <c r="AF41" s="28">
        <f>IF(AQ41="2",BH41,0)</f>
        <v>0</v>
      </c>
      <c r="AG41" s="28">
        <f>IF(AQ41="2",BI41,0)</f>
        <v>0</v>
      </c>
      <c r="AH41" s="28">
        <f>IF(AQ41="0",BJ41,0)</f>
        <v>0</v>
      </c>
      <c r="AI41" s="27" t="s">
        <v>283</v>
      </c>
      <c r="AJ41" s="18">
        <f>IF(AN41=0,M41,0)</f>
        <v>0</v>
      </c>
      <c r="AK41" s="18">
        <f>IF(AN41=15,M41,0)</f>
        <v>0</v>
      </c>
      <c r="AL41" s="18">
        <f>IF(AN41=21,M41,0)</f>
        <v>0</v>
      </c>
      <c r="AN41" s="28">
        <v>15</v>
      </c>
      <c r="AO41" s="28">
        <f>J41*0</f>
        <v>0</v>
      </c>
      <c r="AP41" s="28">
        <f>J41*(1-0)</f>
        <v>0</v>
      </c>
      <c r="AQ41" s="29" t="s">
        <v>7</v>
      </c>
      <c r="AV41" s="28">
        <f>AW41+AX41</f>
        <v>0</v>
      </c>
      <c r="AW41" s="28">
        <f>I41*AO41</f>
        <v>0</v>
      </c>
      <c r="AX41" s="28">
        <f>I41*AP41</f>
        <v>0</v>
      </c>
      <c r="AY41" s="31" t="s">
        <v>1572</v>
      </c>
      <c r="AZ41" s="31" t="s">
        <v>1614</v>
      </c>
      <c r="BA41" s="27" t="s">
        <v>1628</v>
      </c>
      <c r="BC41" s="28">
        <f>AW41+AX41</f>
        <v>0</v>
      </c>
      <c r="BD41" s="28">
        <f>J41/(100-BE41)*100</f>
        <v>0</v>
      </c>
      <c r="BE41" s="28">
        <v>0</v>
      </c>
      <c r="BF41" s="28">
        <f>41</f>
        <v>41</v>
      </c>
      <c r="BH41" s="18">
        <f>I41*AO41</f>
        <v>0</v>
      </c>
      <c r="BI41" s="18">
        <f>I41*AP41</f>
        <v>0</v>
      </c>
      <c r="BJ41" s="18">
        <f>I41*J41</f>
        <v>0</v>
      </c>
      <c r="BK41" s="18" t="s">
        <v>1634</v>
      </c>
      <c r="BL41" s="28">
        <v>16</v>
      </c>
    </row>
    <row r="42" spans="1:15" ht="12.75">
      <c r="A42" s="89"/>
      <c r="B42" s="90"/>
      <c r="C42" s="90"/>
      <c r="D42" s="84" t="s">
        <v>614</v>
      </c>
      <c r="G42" s="91" t="s">
        <v>1337</v>
      </c>
      <c r="H42" s="90"/>
      <c r="I42" s="92">
        <v>21.425</v>
      </c>
      <c r="J42" s="90"/>
      <c r="K42" s="90"/>
      <c r="L42" s="90"/>
      <c r="M42" s="90"/>
      <c r="N42" s="79"/>
      <c r="O42" s="67"/>
    </row>
    <row r="43" spans="1:15" ht="12.75">
      <c r="A43" s="82"/>
      <c r="B43" s="83"/>
      <c r="C43" s="83"/>
      <c r="D43" s="85" t="s">
        <v>615</v>
      </c>
      <c r="G43" s="86" t="s">
        <v>1338</v>
      </c>
      <c r="H43" s="83"/>
      <c r="I43" s="88">
        <v>-14.9975</v>
      </c>
      <c r="J43" s="83"/>
      <c r="K43" s="83"/>
      <c r="L43" s="83"/>
      <c r="M43" s="83"/>
      <c r="N43" s="80"/>
      <c r="O43" s="67"/>
    </row>
    <row r="44" spans="1:15" ht="12.75">
      <c r="A44" s="3"/>
      <c r="C44" s="12" t="s">
        <v>296</v>
      </c>
      <c r="D44" s="142" t="s">
        <v>603</v>
      </c>
      <c r="E44" s="143"/>
      <c r="F44" s="143"/>
      <c r="G44" s="143"/>
      <c r="H44" s="143"/>
      <c r="I44" s="143"/>
      <c r="J44" s="143"/>
      <c r="K44" s="143"/>
      <c r="L44" s="143"/>
      <c r="M44" s="143"/>
      <c r="N44" s="144"/>
      <c r="O44" s="3"/>
    </row>
    <row r="45" spans="1:64" ht="12.75">
      <c r="A45" s="81" t="s">
        <v>18</v>
      </c>
      <c r="B45" s="81" t="s">
        <v>283</v>
      </c>
      <c r="C45" s="81" t="s">
        <v>300</v>
      </c>
      <c r="D45" s="139" t="s">
        <v>616</v>
      </c>
      <c r="E45" s="134"/>
      <c r="F45" s="134"/>
      <c r="G45" s="140"/>
      <c r="H45" s="81" t="s">
        <v>1536</v>
      </c>
      <c r="I45" s="87">
        <v>64.275</v>
      </c>
      <c r="J45" s="87">
        <v>0</v>
      </c>
      <c r="K45" s="87">
        <f>I45*AO45</f>
        <v>0</v>
      </c>
      <c r="L45" s="87">
        <f>I45*AP45</f>
        <v>0</v>
      </c>
      <c r="M45" s="87">
        <f>I45*J45</f>
        <v>0</v>
      </c>
      <c r="N45" s="77" t="s">
        <v>1556</v>
      </c>
      <c r="O45" s="67"/>
      <c r="Z45" s="28">
        <f>IF(AQ45="5",BJ45,0)</f>
        <v>0</v>
      </c>
      <c r="AB45" s="28">
        <f>IF(AQ45="1",BH45,0)</f>
        <v>0</v>
      </c>
      <c r="AC45" s="28">
        <f>IF(AQ45="1",BI45,0)</f>
        <v>0</v>
      </c>
      <c r="AD45" s="28">
        <f>IF(AQ45="7",BH45,0)</f>
        <v>0</v>
      </c>
      <c r="AE45" s="28">
        <f>IF(AQ45="7",BI45,0)</f>
        <v>0</v>
      </c>
      <c r="AF45" s="28">
        <f>IF(AQ45="2",BH45,0)</f>
        <v>0</v>
      </c>
      <c r="AG45" s="28">
        <f>IF(AQ45="2",BI45,0)</f>
        <v>0</v>
      </c>
      <c r="AH45" s="28">
        <f>IF(AQ45="0",BJ45,0)</f>
        <v>0</v>
      </c>
      <c r="AI45" s="27" t="s">
        <v>283</v>
      </c>
      <c r="AJ45" s="18">
        <f>IF(AN45=0,M45,0)</f>
        <v>0</v>
      </c>
      <c r="AK45" s="18">
        <f>IF(AN45=15,M45,0)</f>
        <v>0</v>
      </c>
      <c r="AL45" s="18">
        <f>IF(AN45=21,M45,0)</f>
        <v>0</v>
      </c>
      <c r="AN45" s="28">
        <v>15</v>
      </c>
      <c r="AO45" s="28">
        <f>J45*0</f>
        <v>0</v>
      </c>
      <c r="AP45" s="28">
        <f>J45*(1-0)</f>
        <v>0</v>
      </c>
      <c r="AQ45" s="29" t="s">
        <v>7</v>
      </c>
      <c r="AV45" s="28">
        <f>AW45+AX45</f>
        <v>0</v>
      </c>
      <c r="AW45" s="28">
        <f>I45*AO45</f>
        <v>0</v>
      </c>
      <c r="AX45" s="28">
        <f>I45*AP45</f>
        <v>0</v>
      </c>
      <c r="AY45" s="31" t="s">
        <v>1572</v>
      </c>
      <c r="AZ45" s="31" t="s">
        <v>1614</v>
      </c>
      <c r="BA45" s="27" t="s">
        <v>1628</v>
      </c>
      <c r="BC45" s="28">
        <f>AW45+AX45</f>
        <v>0</v>
      </c>
      <c r="BD45" s="28">
        <f>J45/(100-BE45)*100</f>
        <v>0</v>
      </c>
      <c r="BE45" s="28">
        <v>0</v>
      </c>
      <c r="BF45" s="28">
        <f>45</f>
        <v>45</v>
      </c>
      <c r="BH45" s="18">
        <f>I45*AO45</f>
        <v>0</v>
      </c>
      <c r="BI45" s="18">
        <f>I45*AP45</f>
        <v>0</v>
      </c>
      <c r="BJ45" s="18">
        <f>I45*J45</f>
        <v>0</v>
      </c>
      <c r="BK45" s="18" t="s">
        <v>1634</v>
      </c>
      <c r="BL45" s="28">
        <v>16</v>
      </c>
    </row>
    <row r="46" spans="1:15" ht="12.75">
      <c r="A46" s="82"/>
      <c r="B46" s="83"/>
      <c r="C46" s="83"/>
      <c r="D46" s="85" t="s">
        <v>617</v>
      </c>
      <c r="G46" s="86"/>
      <c r="H46" s="83"/>
      <c r="I46" s="88">
        <v>64.275</v>
      </c>
      <c r="J46" s="83"/>
      <c r="K46" s="83"/>
      <c r="L46" s="83"/>
      <c r="M46" s="83"/>
      <c r="N46" s="80"/>
      <c r="O46" s="67"/>
    </row>
    <row r="47" spans="1:15" ht="12.75">
      <c r="A47" s="3"/>
      <c r="C47" s="12" t="s">
        <v>296</v>
      </c>
      <c r="D47" s="142" t="s">
        <v>603</v>
      </c>
      <c r="E47" s="143"/>
      <c r="F47" s="143"/>
      <c r="G47" s="143"/>
      <c r="H47" s="143"/>
      <c r="I47" s="143"/>
      <c r="J47" s="143"/>
      <c r="K47" s="143"/>
      <c r="L47" s="143"/>
      <c r="M47" s="143"/>
      <c r="N47" s="144"/>
      <c r="O47" s="3"/>
    </row>
    <row r="48" spans="1:47" ht="12.75">
      <c r="A48" s="72"/>
      <c r="B48" s="73" t="s">
        <v>283</v>
      </c>
      <c r="C48" s="73" t="s">
        <v>23</v>
      </c>
      <c r="D48" s="130" t="s">
        <v>618</v>
      </c>
      <c r="E48" s="131"/>
      <c r="F48" s="131"/>
      <c r="G48" s="132"/>
      <c r="H48" s="72" t="s">
        <v>6</v>
      </c>
      <c r="I48" s="72" t="s">
        <v>6</v>
      </c>
      <c r="J48" s="72" t="s">
        <v>6</v>
      </c>
      <c r="K48" s="76">
        <f>SUM(K49:K49)</f>
        <v>0</v>
      </c>
      <c r="L48" s="76">
        <f>SUM(L49:L49)</f>
        <v>0</v>
      </c>
      <c r="M48" s="76">
        <f>SUM(M49:M49)</f>
        <v>0</v>
      </c>
      <c r="N48" s="71"/>
      <c r="O48" s="67"/>
      <c r="AI48" s="27" t="s">
        <v>283</v>
      </c>
      <c r="AS48" s="33">
        <f>SUM(AJ49:AJ49)</f>
        <v>0</v>
      </c>
      <c r="AT48" s="33">
        <f>SUM(AK49:AK49)</f>
        <v>0</v>
      </c>
      <c r="AU48" s="33">
        <f>SUM(AL49:AL49)</f>
        <v>0</v>
      </c>
    </row>
    <row r="49" spans="1:64" ht="12.75">
      <c r="A49" s="81" t="s">
        <v>19</v>
      </c>
      <c r="B49" s="81" t="s">
        <v>283</v>
      </c>
      <c r="C49" s="81" t="s">
        <v>301</v>
      </c>
      <c r="D49" s="139" t="s">
        <v>619</v>
      </c>
      <c r="E49" s="134"/>
      <c r="F49" s="134"/>
      <c r="G49" s="140"/>
      <c r="H49" s="81" t="s">
        <v>1536</v>
      </c>
      <c r="I49" s="87">
        <v>14.9975</v>
      </c>
      <c r="J49" s="87">
        <v>0</v>
      </c>
      <c r="K49" s="87">
        <f>I49*AO49</f>
        <v>0</v>
      </c>
      <c r="L49" s="87">
        <f>I49*AP49</f>
        <v>0</v>
      </c>
      <c r="M49" s="87">
        <f>I49*J49</f>
        <v>0</v>
      </c>
      <c r="N49" s="77" t="s">
        <v>1556</v>
      </c>
      <c r="O49" s="67"/>
      <c r="Z49" s="28">
        <f>IF(AQ49="5",BJ49,0)</f>
        <v>0</v>
      </c>
      <c r="AB49" s="28">
        <f>IF(AQ49="1",BH49,0)</f>
        <v>0</v>
      </c>
      <c r="AC49" s="28">
        <f>IF(AQ49="1",BI49,0)</f>
        <v>0</v>
      </c>
      <c r="AD49" s="28">
        <f>IF(AQ49="7",BH49,0)</f>
        <v>0</v>
      </c>
      <c r="AE49" s="28">
        <f>IF(AQ49="7",BI49,0)</f>
        <v>0</v>
      </c>
      <c r="AF49" s="28">
        <f>IF(AQ49="2",BH49,0)</f>
        <v>0</v>
      </c>
      <c r="AG49" s="28">
        <f>IF(AQ49="2",BI49,0)</f>
        <v>0</v>
      </c>
      <c r="AH49" s="28">
        <f>IF(AQ49="0",BJ49,0)</f>
        <v>0</v>
      </c>
      <c r="AI49" s="27" t="s">
        <v>283</v>
      </c>
      <c r="AJ49" s="18">
        <f>IF(AN49=0,M49,0)</f>
        <v>0</v>
      </c>
      <c r="AK49" s="18">
        <f>IF(AN49=15,M49,0)</f>
        <v>0</v>
      </c>
      <c r="AL49" s="18">
        <f>IF(AN49=21,M49,0)</f>
        <v>0</v>
      </c>
      <c r="AN49" s="28">
        <v>15</v>
      </c>
      <c r="AO49" s="28">
        <f>J49*0</f>
        <v>0</v>
      </c>
      <c r="AP49" s="28">
        <f>J49*(1-0)</f>
        <v>0</v>
      </c>
      <c r="AQ49" s="29" t="s">
        <v>7</v>
      </c>
      <c r="AV49" s="28">
        <f>AW49+AX49</f>
        <v>0</v>
      </c>
      <c r="AW49" s="28">
        <f>I49*AO49</f>
        <v>0</v>
      </c>
      <c r="AX49" s="28">
        <f>I49*AP49</f>
        <v>0</v>
      </c>
      <c r="AY49" s="31" t="s">
        <v>1573</v>
      </c>
      <c r="AZ49" s="31" t="s">
        <v>1614</v>
      </c>
      <c r="BA49" s="27" t="s">
        <v>1628</v>
      </c>
      <c r="BC49" s="28">
        <f>AW49+AX49</f>
        <v>0</v>
      </c>
      <c r="BD49" s="28">
        <f>J49/(100-BE49)*100</f>
        <v>0</v>
      </c>
      <c r="BE49" s="28">
        <v>0</v>
      </c>
      <c r="BF49" s="28">
        <f>49</f>
        <v>49</v>
      </c>
      <c r="BH49" s="18">
        <f>I49*AO49</f>
        <v>0</v>
      </c>
      <c r="BI49" s="18">
        <f>I49*AP49</f>
        <v>0</v>
      </c>
      <c r="BJ49" s="18">
        <f>I49*J49</f>
        <v>0</v>
      </c>
      <c r="BK49" s="18" t="s">
        <v>1634</v>
      </c>
      <c r="BL49" s="28">
        <v>17</v>
      </c>
    </row>
    <row r="50" spans="1:15" ht="12.75">
      <c r="A50" s="82"/>
      <c r="B50" s="83"/>
      <c r="C50" s="83"/>
      <c r="D50" s="85" t="s">
        <v>620</v>
      </c>
      <c r="G50" s="86" t="s">
        <v>1338</v>
      </c>
      <c r="H50" s="83"/>
      <c r="I50" s="88">
        <v>14.9975</v>
      </c>
      <c r="J50" s="83"/>
      <c r="K50" s="83"/>
      <c r="L50" s="83"/>
      <c r="M50" s="83"/>
      <c r="N50" s="80"/>
      <c r="O50" s="67"/>
    </row>
    <row r="51" spans="1:15" ht="12.75">
      <c r="A51" s="3"/>
      <c r="C51" s="13" t="s">
        <v>302</v>
      </c>
      <c r="D51" s="145" t="s">
        <v>621</v>
      </c>
      <c r="E51" s="146"/>
      <c r="F51" s="146"/>
      <c r="G51" s="146"/>
      <c r="H51" s="146"/>
      <c r="I51" s="146"/>
      <c r="J51" s="146"/>
      <c r="K51" s="146"/>
      <c r="L51" s="146"/>
      <c r="M51" s="146"/>
      <c r="N51" s="147"/>
      <c r="O51" s="3"/>
    </row>
    <row r="52" spans="1:15" ht="12.75">
      <c r="A52" s="3"/>
      <c r="C52" s="12" t="s">
        <v>296</v>
      </c>
      <c r="D52" s="142" t="s">
        <v>622</v>
      </c>
      <c r="E52" s="143"/>
      <c r="F52" s="143"/>
      <c r="G52" s="143"/>
      <c r="H52" s="143"/>
      <c r="I52" s="143"/>
      <c r="J52" s="143"/>
      <c r="K52" s="143"/>
      <c r="L52" s="143"/>
      <c r="M52" s="143"/>
      <c r="N52" s="144"/>
      <c r="O52" s="3"/>
    </row>
    <row r="53" spans="1:47" ht="12.75">
      <c r="A53" s="72"/>
      <c r="B53" s="73" t="s">
        <v>283</v>
      </c>
      <c r="C53" s="73" t="s">
        <v>24</v>
      </c>
      <c r="D53" s="130" t="s">
        <v>623</v>
      </c>
      <c r="E53" s="131"/>
      <c r="F53" s="131"/>
      <c r="G53" s="132"/>
      <c r="H53" s="72" t="s">
        <v>6</v>
      </c>
      <c r="I53" s="72" t="s">
        <v>6</v>
      </c>
      <c r="J53" s="72" t="s">
        <v>6</v>
      </c>
      <c r="K53" s="76">
        <f>SUM(K54:K59)</f>
        <v>0</v>
      </c>
      <c r="L53" s="76">
        <f>SUM(L54:L59)</f>
        <v>0</v>
      </c>
      <c r="M53" s="76">
        <f>SUM(M54:M59)</f>
        <v>0</v>
      </c>
      <c r="N53" s="71"/>
      <c r="O53" s="67"/>
      <c r="AI53" s="27" t="s">
        <v>283</v>
      </c>
      <c r="AS53" s="33">
        <f>SUM(AJ54:AJ59)</f>
        <v>0</v>
      </c>
      <c r="AT53" s="33">
        <f>SUM(AK54:AK59)</f>
        <v>0</v>
      </c>
      <c r="AU53" s="33">
        <f>SUM(AL54:AL59)</f>
        <v>0</v>
      </c>
    </row>
    <row r="54" spans="1:64" ht="12.75">
      <c r="A54" s="81" t="s">
        <v>20</v>
      </c>
      <c r="B54" s="81" t="s">
        <v>283</v>
      </c>
      <c r="C54" s="81" t="s">
        <v>303</v>
      </c>
      <c r="D54" s="139" t="s">
        <v>624</v>
      </c>
      <c r="E54" s="134"/>
      <c r="F54" s="134"/>
      <c r="G54" s="140"/>
      <c r="H54" s="81" t="s">
        <v>1535</v>
      </c>
      <c r="I54" s="87">
        <v>48.8</v>
      </c>
      <c r="J54" s="87">
        <v>0</v>
      </c>
      <c r="K54" s="87">
        <f>I54*AO54</f>
        <v>0</v>
      </c>
      <c r="L54" s="87">
        <f>I54*AP54</f>
        <v>0</v>
      </c>
      <c r="M54" s="87">
        <f>I54*J54</f>
        <v>0</v>
      </c>
      <c r="N54" s="77" t="s">
        <v>1556</v>
      </c>
      <c r="O54" s="67"/>
      <c r="Z54" s="28">
        <f>IF(AQ54="5",BJ54,0)</f>
        <v>0</v>
      </c>
      <c r="AB54" s="28">
        <f>IF(AQ54="1",BH54,0)</f>
        <v>0</v>
      </c>
      <c r="AC54" s="28">
        <f>IF(AQ54="1",BI54,0)</f>
        <v>0</v>
      </c>
      <c r="AD54" s="28">
        <f>IF(AQ54="7",BH54,0)</f>
        <v>0</v>
      </c>
      <c r="AE54" s="28">
        <f>IF(AQ54="7",BI54,0)</f>
        <v>0</v>
      </c>
      <c r="AF54" s="28">
        <f>IF(AQ54="2",BH54,0)</f>
        <v>0</v>
      </c>
      <c r="AG54" s="28">
        <f>IF(AQ54="2",BI54,0)</f>
        <v>0</v>
      </c>
      <c r="AH54" s="28">
        <f>IF(AQ54="0",BJ54,0)</f>
        <v>0</v>
      </c>
      <c r="AI54" s="27" t="s">
        <v>283</v>
      </c>
      <c r="AJ54" s="18">
        <f>IF(AN54=0,M54,0)</f>
        <v>0</v>
      </c>
      <c r="AK54" s="18">
        <f>IF(AN54=15,M54,0)</f>
        <v>0</v>
      </c>
      <c r="AL54" s="18">
        <f>IF(AN54=21,M54,0)</f>
        <v>0</v>
      </c>
      <c r="AN54" s="28">
        <v>15</v>
      </c>
      <c r="AO54" s="28">
        <f>J54*0.0697674418604651</f>
        <v>0</v>
      </c>
      <c r="AP54" s="28">
        <f>J54*(1-0.0697674418604651)</f>
        <v>0</v>
      </c>
      <c r="AQ54" s="29" t="s">
        <v>7</v>
      </c>
      <c r="AV54" s="28">
        <f>AW54+AX54</f>
        <v>0</v>
      </c>
      <c r="AW54" s="28">
        <f>I54*AO54</f>
        <v>0</v>
      </c>
      <c r="AX54" s="28">
        <f>I54*AP54</f>
        <v>0</v>
      </c>
      <c r="AY54" s="31" t="s">
        <v>1574</v>
      </c>
      <c r="AZ54" s="31" t="s">
        <v>1614</v>
      </c>
      <c r="BA54" s="27" t="s">
        <v>1628</v>
      </c>
      <c r="BC54" s="28">
        <f>AW54+AX54</f>
        <v>0</v>
      </c>
      <c r="BD54" s="28">
        <f>J54/(100-BE54)*100</f>
        <v>0</v>
      </c>
      <c r="BE54" s="28">
        <v>0</v>
      </c>
      <c r="BF54" s="28">
        <f>54</f>
        <v>54</v>
      </c>
      <c r="BH54" s="18">
        <f>I54*AO54</f>
        <v>0</v>
      </c>
      <c r="BI54" s="18">
        <f>I54*AP54</f>
        <v>0</v>
      </c>
      <c r="BJ54" s="18">
        <f>I54*J54</f>
        <v>0</v>
      </c>
      <c r="BK54" s="18" t="s">
        <v>1634</v>
      </c>
      <c r="BL54" s="28">
        <v>18</v>
      </c>
    </row>
    <row r="55" spans="1:15" ht="12.75">
      <c r="A55" s="89"/>
      <c r="B55" s="90"/>
      <c r="C55" s="90"/>
      <c r="D55" s="84" t="s">
        <v>625</v>
      </c>
      <c r="G55" s="91" t="s">
        <v>1332</v>
      </c>
      <c r="H55" s="90"/>
      <c r="I55" s="92">
        <v>28.1</v>
      </c>
      <c r="J55" s="90"/>
      <c r="K55" s="90"/>
      <c r="L55" s="90"/>
      <c r="M55" s="90"/>
      <c r="N55" s="79"/>
      <c r="O55" s="67"/>
    </row>
    <row r="56" spans="1:15" ht="12.75">
      <c r="A56" s="89"/>
      <c r="B56" s="90"/>
      <c r="C56" s="90"/>
      <c r="D56" s="84" t="s">
        <v>602</v>
      </c>
      <c r="G56" s="91" t="s">
        <v>1333</v>
      </c>
      <c r="H56" s="90"/>
      <c r="I56" s="92">
        <v>5.7</v>
      </c>
      <c r="J56" s="90"/>
      <c r="K56" s="90"/>
      <c r="L56" s="90"/>
      <c r="M56" s="90"/>
      <c r="N56" s="79"/>
      <c r="O56" s="67"/>
    </row>
    <row r="57" spans="1:15" ht="12.75">
      <c r="A57" s="82"/>
      <c r="B57" s="83"/>
      <c r="C57" s="83"/>
      <c r="D57" s="85" t="s">
        <v>626</v>
      </c>
      <c r="G57" s="86" t="s">
        <v>1339</v>
      </c>
      <c r="H57" s="83"/>
      <c r="I57" s="88">
        <v>15</v>
      </c>
      <c r="J57" s="83"/>
      <c r="K57" s="83"/>
      <c r="L57" s="83"/>
      <c r="M57" s="83"/>
      <c r="N57" s="80"/>
      <c r="O57" s="67"/>
    </row>
    <row r="58" spans="1:15" ht="12.75">
      <c r="A58" s="3"/>
      <c r="C58" s="12" t="s">
        <v>296</v>
      </c>
      <c r="D58" s="142" t="s">
        <v>622</v>
      </c>
      <c r="E58" s="143"/>
      <c r="F58" s="143"/>
      <c r="G58" s="143"/>
      <c r="H58" s="143"/>
      <c r="I58" s="143"/>
      <c r="J58" s="143"/>
      <c r="K58" s="143"/>
      <c r="L58" s="143"/>
      <c r="M58" s="143"/>
      <c r="N58" s="144"/>
      <c r="O58" s="3"/>
    </row>
    <row r="59" spans="1:64" ht="12.75">
      <c r="A59" s="94" t="s">
        <v>21</v>
      </c>
      <c r="B59" s="94" t="s">
        <v>283</v>
      </c>
      <c r="C59" s="94" t="s">
        <v>304</v>
      </c>
      <c r="D59" s="148" t="s">
        <v>627</v>
      </c>
      <c r="E59" s="149"/>
      <c r="F59" s="149"/>
      <c r="G59" s="150"/>
      <c r="H59" s="94" t="s">
        <v>1537</v>
      </c>
      <c r="I59" s="95">
        <v>1.464</v>
      </c>
      <c r="J59" s="95">
        <v>0</v>
      </c>
      <c r="K59" s="95">
        <f>I59*AO59</f>
        <v>0</v>
      </c>
      <c r="L59" s="95">
        <f>I59*AP59</f>
        <v>0</v>
      </c>
      <c r="M59" s="95">
        <f>I59*J59</f>
        <v>0</v>
      </c>
      <c r="N59" s="93" t="s">
        <v>1556</v>
      </c>
      <c r="O59" s="67"/>
      <c r="Z59" s="28">
        <f>IF(AQ59="5",BJ59,0)</f>
        <v>0</v>
      </c>
      <c r="AB59" s="28">
        <f>IF(AQ59="1",BH59,0)</f>
        <v>0</v>
      </c>
      <c r="AC59" s="28">
        <f>IF(AQ59="1",BI59,0)</f>
        <v>0</v>
      </c>
      <c r="AD59" s="28">
        <f>IF(AQ59="7",BH59,0)</f>
        <v>0</v>
      </c>
      <c r="AE59" s="28">
        <f>IF(AQ59="7",BI59,0)</f>
        <v>0</v>
      </c>
      <c r="AF59" s="28">
        <f>IF(AQ59="2",BH59,0)</f>
        <v>0</v>
      </c>
      <c r="AG59" s="28">
        <f>IF(AQ59="2",BI59,0)</f>
        <v>0</v>
      </c>
      <c r="AH59" s="28">
        <f>IF(AQ59="0",BJ59,0)</f>
        <v>0</v>
      </c>
      <c r="AI59" s="27" t="s">
        <v>283</v>
      </c>
      <c r="AJ59" s="20">
        <f>IF(AN59=0,M59,0)</f>
        <v>0</v>
      </c>
      <c r="AK59" s="20">
        <f>IF(AN59=15,M59,0)</f>
        <v>0</v>
      </c>
      <c r="AL59" s="20">
        <f>IF(AN59=21,M59,0)</f>
        <v>0</v>
      </c>
      <c r="AN59" s="28">
        <v>15</v>
      </c>
      <c r="AO59" s="28">
        <f>J59*1</f>
        <v>0</v>
      </c>
      <c r="AP59" s="28">
        <f>J59*(1-1)</f>
        <v>0</v>
      </c>
      <c r="AQ59" s="30" t="s">
        <v>7</v>
      </c>
      <c r="AV59" s="28">
        <f>AW59+AX59</f>
        <v>0</v>
      </c>
      <c r="AW59" s="28">
        <f>I59*AO59</f>
        <v>0</v>
      </c>
      <c r="AX59" s="28">
        <f>I59*AP59</f>
        <v>0</v>
      </c>
      <c r="AY59" s="31" t="s">
        <v>1574</v>
      </c>
      <c r="AZ59" s="31" t="s">
        <v>1614</v>
      </c>
      <c r="BA59" s="27" t="s">
        <v>1628</v>
      </c>
      <c r="BC59" s="28">
        <f>AW59+AX59</f>
        <v>0</v>
      </c>
      <c r="BD59" s="28">
        <f>J59/(100-BE59)*100</f>
        <v>0</v>
      </c>
      <c r="BE59" s="28">
        <v>0</v>
      </c>
      <c r="BF59" s="28">
        <f>59</f>
        <v>59</v>
      </c>
      <c r="BH59" s="20">
        <f>I59*AO59</f>
        <v>0</v>
      </c>
      <c r="BI59" s="20">
        <f>I59*AP59</f>
        <v>0</v>
      </c>
      <c r="BJ59" s="20">
        <f>I59*J59</f>
        <v>0</v>
      </c>
      <c r="BK59" s="20" t="s">
        <v>1635</v>
      </c>
      <c r="BL59" s="28">
        <v>18</v>
      </c>
    </row>
    <row r="60" spans="1:15" ht="12.75">
      <c r="A60" s="89"/>
      <c r="B60" s="90"/>
      <c r="C60" s="90"/>
      <c r="D60" s="84" t="s">
        <v>628</v>
      </c>
      <c r="G60" s="91" t="s">
        <v>1340</v>
      </c>
      <c r="H60" s="90"/>
      <c r="I60" s="92">
        <v>1.22</v>
      </c>
      <c r="J60" s="90"/>
      <c r="K60" s="90"/>
      <c r="L60" s="90"/>
      <c r="M60" s="90"/>
      <c r="N60" s="79"/>
      <c r="O60" s="67"/>
    </row>
    <row r="61" spans="1:15" ht="12.75">
      <c r="A61" s="82"/>
      <c r="B61" s="83"/>
      <c r="C61" s="83"/>
      <c r="D61" s="85" t="s">
        <v>629</v>
      </c>
      <c r="G61" s="86"/>
      <c r="H61" s="83"/>
      <c r="I61" s="88">
        <v>0.244</v>
      </c>
      <c r="J61" s="83"/>
      <c r="K61" s="83"/>
      <c r="L61" s="83"/>
      <c r="M61" s="83"/>
      <c r="N61" s="80"/>
      <c r="O61" s="67"/>
    </row>
    <row r="62" spans="1:15" ht="12.75">
      <c r="A62" s="3"/>
      <c r="C62" s="12" t="s">
        <v>296</v>
      </c>
      <c r="D62" s="142" t="s">
        <v>622</v>
      </c>
      <c r="E62" s="143"/>
      <c r="F62" s="143"/>
      <c r="G62" s="143"/>
      <c r="H62" s="143"/>
      <c r="I62" s="143"/>
      <c r="J62" s="143"/>
      <c r="K62" s="143"/>
      <c r="L62" s="143"/>
      <c r="M62" s="143"/>
      <c r="N62" s="144"/>
      <c r="O62" s="3"/>
    </row>
    <row r="63" spans="1:47" ht="12.75">
      <c r="A63" s="72"/>
      <c r="B63" s="73" t="s">
        <v>283</v>
      </c>
      <c r="C63" s="73" t="s">
        <v>305</v>
      </c>
      <c r="D63" s="130" t="s">
        <v>630</v>
      </c>
      <c r="E63" s="131"/>
      <c r="F63" s="131"/>
      <c r="G63" s="132"/>
      <c r="H63" s="72" t="s">
        <v>6</v>
      </c>
      <c r="I63" s="72" t="s">
        <v>6</v>
      </c>
      <c r="J63" s="72" t="s">
        <v>6</v>
      </c>
      <c r="K63" s="76">
        <f>SUM(K64:K64)</f>
        <v>0</v>
      </c>
      <c r="L63" s="76">
        <f>SUM(L64:L64)</f>
        <v>0</v>
      </c>
      <c r="M63" s="76">
        <f>SUM(M64:M64)</f>
        <v>0</v>
      </c>
      <c r="N63" s="71"/>
      <c r="O63" s="67"/>
      <c r="AI63" s="27" t="s">
        <v>283</v>
      </c>
      <c r="AS63" s="33">
        <f>SUM(AJ64:AJ64)</f>
        <v>0</v>
      </c>
      <c r="AT63" s="33">
        <f>SUM(AK64:AK64)</f>
        <v>0</v>
      </c>
      <c r="AU63" s="33">
        <f>SUM(AL64:AL64)</f>
        <v>0</v>
      </c>
    </row>
    <row r="64" spans="1:64" ht="12.75">
      <c r="A64" s="74" t="s">
        <v>22</v>
      </c>
      <c r="B64" s="74" t="s">
        <v>283</v>
      </c>
      <c r="C64" s="74" t="s">
        <v>306</v>
      </c>
      <c r="D64" s="133" t="s">
        <v>631</v>
      </c>
      <c r="E64" s="134"/>
      <c r="F64" s="134"/>
      <c r="G64" s="135"/>
      <c r="H64" s="74" t="s">
        <v>1538</v>
      </c>
      <c r="I64" s="75">
        <v>4</v>
      </c>
      <c r="J64" s="75">
        <v>0</v>
      </c>
      <c r="K64" s="75">
        <f>I64*AO64</f>
        <v>0</v>
      </c>
      <c r="L64" s="75">
        <f>I64*AP64</f>
        <v>0</v>
      </c>
      <c r="M64" s="75">
        <f>I64*J64</f>
        <v>0</v>
      </c>
      <c r="N64" s="78" t="s">
        <v>1555</v>
      </c>
      <c r="O64" s="67"/>
      <c r="Z64" s="28">
        <f>IF(AQ64="5",BJ64,0)</f>
        <v>0</v>
      </c>
      <c r="AB64" s="28">
        <f>IF(AQ64="1",BH64,0)</f>
        <v>0</v>
      </c>
      <c r="AC64" s="28">
        <f>IF(AQ64="1",BI64,0)</f>
        <v>0</v>
      </c>
      <c r="AD64" s="28">
        <f>IF(AQ64="7",BH64,0)</f>
        <v>0</v>
      </c>
      <c r="AE64" s="28">
        <f>IF(AQ64="7",BI64,0)</f>
        <v>0</v>
      </c>
      <c r="AF64" s="28">
        <f>IF(AQ64="2",BH64,0)</f>
        <v>0</v>
      </c>
      <c r="AG64" s="28">
        <f>IF(AQ64="2",BI64,0)</f>
        <v>0</v>
      </c>
      <c r="AH64" s="28">
        <f>IF(AQ64="0",BJ64,0)</f>
        <v>0</v>
      </c>
      <c r="AI64" s="27" t="s">
        <v>283</v>
      </c>
      <c r="AJ64" s="18">
        <f>IF(AN64=0,M64,0)</f>
        <v>0</v>
      </c>
      <c r="AK64" s="18">
        <f>IF(AN64=15,M64,0)</f>
        <v>0</v>
      </c>
      <c r="AL64" s="18">
        <f>IF(AN64=21,M64,0)</f>
        <v>0</v>
      </c>
      <c r="AN64" s="28">
        <v>15</v>
      </c>
      <c r="AO64" s="28">
        <f>J64*0</f>
        <v>0</v>
      </c>
      <c r="AP64" s="28">
        <f>J64*(1-0)</f>
        <v>0</v>
      </c>
      <c r="AQ64" s="29" t="s">
        <v>7</v>
      </c>
      <c r="AV64" s="28">
        <f>AW64+AX64</f>
        <v>0</v>
      </c>
      <c r="AW64" s="28">
        <f>I64*AO64</f>
        <v>0</v>
      </c>
      <c r="AX64" s="28">
        <f>I64*AP64</f>
        <v>0</v>
      </c>
      <c r="AY64" s="31" t="s">
        <v>1575</v>
      </c>
      <c r="AZ64" s="31" t="s">
        <v>1614</v>
      </c>
      <c r="BA64" s="27" t="s">
        <v>1628</v>
      </c>
      <c r="BC64" s="28">
        <f>AW64+AX64</f>
        <v>0</v>
      </c>
      <c r="BD64" s="28">
        <f>J64/(100-BE64)*100</f>
        <v>0</v>
      </c>
      <c r="BE64" s="28">
        <v>0</v>
      </c>
      <c r="BF64" s="28">
        <f>64</f>
        <v>64</v>
      </c>
      <c r="BH64" s="18">
        <f>I64*AO64</f>
        <v>0</v>
      </c>
      <c r="BI64" s="18">
        <f>I64*AP64</f>
        <v>0</v>
      </c>
      <c r="BJ64" s="18">
        <f>I64*J64</f>
        <v>0</v>
      </c>
      <c r="BK64" s="18" t="s">
        <v>1634</v>
      </c>
      <c r="BL64" s="28" t="s">
        <v>305</v>
      </c>
    </row>
    <row r="65" spans="1:15" ht="12.75">
      <c r="A65" s="3"/>
      <c r="D65" s="136" t="s">
        <v>632</v>
      </c>
      <c r="E65" s="137"/>
      <c r="F65" s="137"/>
      <c r="G65" s="137"/>
      <c r="H65" s="137"/>
      <c r="I65" s="137"/>
      <c r="J65" s="137"/>
      <c r="K65" s="137"/>
      <c r="L65" s="137"/>
      <c r="M65" s="137"/>
      <c r="N65" s="138"/>
      <c r="O65" s="3"/>
    </row>
    <row r="66" spans="1:15" ht="12.75">
      <c r="A66" s="89"/>
      <c r="B66" s="90"/>
      <c r="C66" s="90"/>
      <c r="D66" s="84" t="s">
        <v>10</v>
      </c>
      <c r="G66" s="91"/>
      <c r="H66" s="90"/>
      <c r="I66" s="92">
        <v>4</v>
      </c>
      <c r="J66" s="90"/>
      <c r="K66" s="90"/>
      <c r="L66" s="90"/>
      <c r="M66" s="90"/>
      <c r="N66" s="79"/>
      <c r="O66" s="67"/>
    </row>
    <row r="67" spans="1:47" ht="12.75">
      <c r="A67" s="72"/>
      <c r="B67" s="73" t="s">
        <v>283</v>
      </c>
      <c r="C67" s="73" t="s">
        <v>25</v>
      </c>
      <c r="D67" s="130" t="s">
        <v>633</v>
      </c>
      <c r="E67" s="131"/>
      <c r="F67" s="131"/>
      <c r="G67" s="132"/>
      <c r="H67" s="72" t="s">
        <v>6</v>
      </c>
      <c r="I67" s="72" t="s">
        <v>6</v>
      </c>
      <c r="J67" s="72" t="s">
        <v>6</v>
      </c>
      <c r="K67" s="76">
        <f>SUM(K68:K68)</f>
        <v>0</v>
      </c>
      <c r="L67" s="76">
        <f>SUM(L68:L68)</f>
        <v>0</v>
      </c>
      <c r="M67" s="76">
        <f>SUM(M68:M68)</f>
        <v>0</v>
      </c>
      <c r="N67" s="71"/>
      <c r="O67" s="67"/>
      <c r="AI67" s="27" t="s">
        <v>283</v>
      </c>
      <c r="AS67" s="33">
        <f>SUM(AJ68:AJ68)</f>
        <v>0</v>
      </c>
      <c r="AT67" s="33">
        <f>SUM(AK68:AK68)</f>
        <v>0</v>
      </c>
      <c r="AU67" s="33">
        <f>SUM(AL68:AL68)</f>
        <v>0</v>
      </c>
    </row>
    <row r="68" spans="1:64" ht="12.75">
      <c r="A68" s="81" t="s">
        <v>23</v>
      </c>
      <c r="B68" s="81" t="s">
        <v>283</v>
      </c>
      <c r="C68" s="81" t="s">
        <v>307</v>
      </c>
      <c r="D68" s="139" t="s">
        <v>634</v>
      </c>
      <c r="E68" s="134"/>
      <c r="F68" s="134"/>
      <c r="G68" s="140"/>
      <c r="H68" s="81" t="s">
        <v>1536</v>
      </c>
      <c r="I68" s="87">
        <v>6.4275</v>
      </c>
      <c r="J68" s="87">
        <v>0</v>
      </c>
      <c r="K68" s="87">
        <f>I68*AO68</f>
        <v>0</v>
      </c>
      <c r="L68" s="87">
        <f>I68*AP68</f>
        <v>0</v>
      </c>
      <c r="M68" s="87">
        <f>I68*J68</f>
        <v>0</v>
      </c>
      <c r="N68" s="77" t="s">
        <v>1556</v>
      </c>
      <c r="O68" s="67"/>
      <c r="Z68" s="28">
        <f>IF(AQ68="5",BJ68,0)</f>
        <v>0</v>
      </c>
      <c r="AB68" s="28">
        <f>IF(AQ68="1",BH68,0)</f>
        <v>0</v>
      </c>
      <c r="AC68" s="28">
        <f>IF(AQ68="1",BI68,0)</f>
        <v>0</v>
      </c>
      <c r="AD68" s="28">
        <f>IF(AQ68="7",BH68,0)</f>
        <v>0</v>
      </c>
      <c r="AE68" s="28">
        <f>IF(AQ68="7",BI68,0)</f>
        <v>0</v>
      </c>
      <c r="AF68" s="28">
        <f>IF(AQ68="2",BH68,0)</f>
        <v>0</v>
      </c>
      <c r="AG68" s="28">
        <f>IF(AQ68="2",BI68,0)</f>
        <v>0</v>
      </c>
      <c r="AH68" s="28">
        <f>IF(AQ68="0",BJ68,0)</f>
        <v>0</v>
      </c>
      <c r="AI68" s="27" t="s">
        <v>283</v>
      </c>
      <c r="AJ68" s="18">
        <f>IF(AN68=0,M68,0)</f>
        <v>0</v>
      </c>
      <c r="AK68" s="18">
        <f>IF(AN68=15,M68,0)</f>
        <v>0</v>
      </c>
      <c r="AL68" s="18">
        <f>IF(AN68=21,M68,0)</f>
        <v>0</v>
      </c>
      <c r="AN68" s="28">
        <v>15</v>
      </c>
      <c r="AO68" s="28">
        <f>J68*0</f>
        <v>0</v>
      </c>
      <c r="AP68" s="28">
        <f>J68*(1-0)</f>
        <v>0</v>
      </c>
      <c r="AQ68" s="29" t="s">
        <v>7</v>
      </c>
      <c r="AV68" s="28">
        <f>AW68+AX68</f>
        <v>0</v>
      </c>
      <c r="AW68" s="28">
        <f>I68*AO68</f>
        <v>0</v>
      </c>
      <c r="AX68" s="28">
        <f>I68*AP68</f>
        <v>0</v>
      </c>
      <c r="AY68" s="31" t="s">
        <v>1576</v>
      </c>
      <c r="AZ68" s="31" t="s">
        <v>1614</v>
      </c>
      <c r="BA68" s="27" t="s">
        <v>1628</v>
      </c>
      <c r="BC68" s="28">
        <f>AW68+AX68</f>
        <v>0</v>
      </c>
      <c r="BD68" s="28">
        <f>J68/(100-BE68)*100</f>
        <v>0</v>
      </c>
      <c r="BE68" s="28">
        <v>0</v>
      </c>
      <c r="BF68" s="28">
        <f>68</f>
        <v>68</v>
      </c>
      <c r="BH68" s="18">
        <f>I68*AO68</f>
        <v>0</v>
      </c>
      <c r="BI68" s="18">
        <f>I68*AP68</f>
        <v>0</v>
      </c>
      <c r="BJ68" s="18">
        <f>I68*J68</f>
        <v>0</v>
      </c>
      <c r="BK68" s="18" t="s">
        <v>1634</v>
      </c>
      <c r="BL68" s="28">
        <v>19</v>
      </c>
    </row>
    <row r="69" spans="1:15" ht="12.75">
      <c r="A69" s="89"/>
      <c r="B69" s="90"/>
      <c r="C69" s="90"/>
      <c r="D69" s="84" t="s">
        <v>635</v>
      </c>
      <c r="G69" s="91"/>
      <c r="H69" s="90"/>
      <c r="I69" s="92">
        <v>6.4275</v>
      </c>
      <c r="J69" s="90"/>
      <c r="K69" s="90"/>
      <c r="L69" s="90"/>
      <c r="M69" s="90"/>
      <c r="N69" s="79"/>
      <c r="O69" s="67"/>
    </row>
    <row r="70" spans="1:47" ht="12.75">
      <c r="A70" s="72"/>
      <c r="B70" s="73" t="s">
        <v>283</v>
      </c>
      <c r="C70" s="73" t="s">
        <v>34</v>
      </c>
      <c r="D70" s="130" t="s">
        <v>636</v>
      </c>
      <c r="E70" s="131"/>
      <c r="F70" s="131"/>
      <c r="G70" s="132"/>
      <c r="H70" s="72" t="s">
        <v>6</v>
      </c>
      <c r="I70" s="72" t="s">
        <v>6</v>
      </c>
      <c r="J70" s="72" t="s">
        <v>6</v>
      </c>
      <c r="K70" s="76">
        <f>SUM(K71:K71)</f>
        <v>0</v>
      </c>
      <c r="L70" s="76">
        <f>SUM(L71:L71)</f>
        <v>0</v>
      </c>
      <c r="M70" s="76">
        <f>SUM(M71:M71)</f>
        <v>0</v>
      </c>
      <c r="N70" s="71"/>
      <c r="O70" s="67"/>
      <c r="AI70" s="27" t="s">
        <v>283</v>
      </c>
      <c r="AS70" s="33">
        <f>SUM(AJ71:AJ71)</f>
        <v>0</v>
      </c>
      <c r="AT70" s="33">
        <f>SUM(AK71:AK71)</f>
        <v>0</v>
      </c>
      <c r="AU70" s="33">
        <f>SUM(AL71:AL71)</f>
        <v>0</v>
      </c>
    </row>
    <row r="71" spans="1:64" ht="12.75">
      <c r="A71" s="74" t="s">
        <v>24</v>
      </c>
      <c r="B71" s="74" t="s">
        <v>283</v>
      </c>
      <c r="C71" s="74" t="s">
        <v>308</v>
      </c>
      <c r="D71" s="133" t="s">
        <v>637</v>
      </c>
      <c r="E71" s="134"/>
      <c r="F71" s="134"/>
      <c r="G71" s="135"/>
      <c r="H71" s="74" t="s">
        <v>1535</v>
      </c>
      <c r="I71" s="75">
        <v>58.368</v>
      </c>
      <c r="J71" s="75">
        <v>0</v>
      </c>
      <c r="K71" s="75">
        <f>I71*AO71</f>
        <v>0</v>
      </c>
      <c r="L71" s="75">
        <f>I71*AP71</f>
        <v>0</v>
      </c>
      <c r="M71" s="75">
        <f>I71*J71</f>
        <v>0</v>
      </c>
      <c r="N71" s="78" t="s">
        <v>1556</v>
      </c>
      <c r="O71" s="67"/>
      <c r="Z71" s="28">
        <f>IF(AQ71="5",BJ71,0)</f>
        <v>0</v>
      </c>
      <c r="AB71" s="28">
        <f>IF(AQ71="1",BH71,0)</f>
        <v>0</v>
      </c>
      <c r="AC71" s="28">
        <f>IF(AQ71="1",BI71,0)</f>
        <v>0</v>
      </c>
      <c r="AD71" s="28">
        <f>IF(AQ71="7",BH71,0)</f>
        <v>0</v>
      </c>
      <c r="AE71" s="28">
        <f>IF(AQ71="7",BI71,0)</f>
        <v>0</v>
      </c>
      <c r="AF71" s="28">
        <f>IF(AQ71="2",BH71,0)</f>
        <v>0</v>
      </c>
      <c r="AG71" s="28">
        <f>IF(AQ71="2",BI71,0)</f>
        <v>0</v>
      </c>
      <c r="AH71" s="28">
        <f>IF(AQ71="0",BJ71,0)</f>
        <v>0</v>
      </c>
      <c r="AI71" s="27" t="s">
        <v>283</v>
      </c>
      <c r="AJ71" s="18">
        <f>IF(AN71=0,M71,0)</f>
        <v>0</v>
      </c>
      <c r="AK71" s="18">
        <f>IF(AN71=15,M71,0)</f>
        <v>0</v>
      </c>
      <c r="AL71" s="18">
        <f>IF(AN71=21,M71,0)</f>
        <v>0</v>
      </c>
      <c r="AN71" s="28">
        <v>15</v>
      </c>
      <c r="AO71" s="28">
        <f>J71*0.295132922351029</f>
        <v>0</v>
      </c>
      <c r="AP71" s="28">
        <f>J71*(1-0.295132922351029)</f>
        <v>0</v>
      </c>
      <c r="AQ71" s="29" t="s">
        <v>7</v>
      </c>
      <c r="AV71" s="28">
        <f>AW71+AX71</f>
        <v>0</v>
      </c>
      <c r="AW71" s="28">
        <f>I71*AO71</f>
        <v>0</v>
      </c>
      <c r="AX71" s="28">
        <f>I71*AP71</f>
        <v>0</v>
      </c>
      <c r="AY71" s="31" t="s">
        <v>1577</v>
      </c>
      <c r="AZ71" s="31" t="s">
        <v>1615</v>
      </c>
      <c r="BA71" s="27" t="s">
        <v>1628</v>
      </c>
      <c r="BC71" s="28">
        <f>AW71+AX71</f>
        <v>0</v>
      </c>
      <c r="BD71" s="28">
        <f>J71/(100-BE71)*100</f>
        <v>0</v>
      </c>
      <c r="BE71" s="28">
        <v>0</v>
      </c>
      <c r="BF71" s="28">
        <f>71</f>
        <v>71</v>
      </c>
      <c r="BH71" s="18">
        <f>I71*AO71</f>
        <v>0</v>
      </c>
      <c r="BI71" s="18">
        <f>I71*AP71</f>
        <v>0</v>
      </c>
      <c r="BJ71" s="18">
        <f>I71*J71</f>
        <v>0</v>
      </c>
      <c r="BK71" s="18" t="s">
        <v>1634</v>
      </c>
      <c r="BL71" s="28">
        <v>28</v>
      </c>
    </row>
    <row r="72" spans="1:15" ht="12.75">
      <c r="A72" s="3"/>
      <c r="D72" s="136" t="s">
        <v>638</v>
      </c>
      <c r="E72" s="137"/>
      <c r="F72" s="137"/>
      <c r="G72" s="137"/>
      <c r="H72" s="137"/>
      <c r="I72" s="137"/>
      <c r="J72" s="137"/>
      <c r="K72" s="137"/>
      <c r="L72" s="137"/>
      <c r="M72" s="137"/>
      <c r="N72" s="138"/>
      <c r="O72" s="3"/>
    </row>
    <row r="73" spans="1:15" ht="12.75">
      <c r="A73" s="89"/>
      <c r="B73" s="90"/>
      <c r="C73" s="90"/>
      <c r="D73" s="84" t="s">
        <v>639</v>
      </c>
      <c r="G73" s="91" t="s">
        <v>1341</v>
      </c>
      <c r="H73" s="90"/>
      <c r="I73" s="92">
        <v>57.108</v>
      </c>
      <c r="J73" s="90"/>
      <c r="K73" s="90"/>
      <c r="L73" s="90"/>
      <c r="M73" s="90"/>
      <c r="N73" s="79"/>
      <c r="O73" s="67"/>
    </row>
    <row r="74" spans="1:15" ht="12.75">
      <c r="A74" s="82"/>
      <c r="B74" s="83"/>
      <c r="C74" s="83"/>
      <c r="D74" s="85" t="s">
        <v>640</v>
      </c>
      <c r="G74" s="86" t="s">
        <v>1342</v>
      </c>
      <c r="H74" s="83"/>
      <c r="I74" s="88">
        <v>1.26</v>
      </c>
      <c r="J74" s="83"/>
      <c r="K74" s="83"/>
      <c r="L74" s="83"/>
      <c r="M74" s="83"/>
      <c r="N74" s="80"/>
      <c r="O74" s="67"/>
    </row>
    <row r="75" spans="1:15" ht="12.75">
      <c r="A75" s="3"/>
      <c r="C75" s="12" t="s">
        <v>296</v>
      </c>
      <c r="D75" s="142" t="s">
        <v>622</v>
      </c>
      <c r="E75" s="143"/>
      <c r="F75" s="143"/>
      <c r="G75" s="143"/>
      <c r="H75" s="143"/>
      <c r="I75" s="143"/>
      <c r="J75" s="143"/>
      <c r="K75" s="143"/>
      <c r="L75" s="143"/>
      <c r="M75" s="143"/>
      <c r="N75" s="144"/>
      <c r="O75" s="3"/>
    </row>
    <row r="76" spans="1:47" ht="12.75">
      <c r="A76" s="72"/>
      <c r="B76" s="73" t="s">
        <v>283</v>
      </c>
      <c r="C76" s="73" t="s">
        <v>40</v>
      </c>
      <c r="D76" s="130" t="s">
        <v>641</v>
      </c>
      <c r="E76" s="131"/>
      <c r="F76" s="131"/>
      <c r="G76" s="132"/>
      <c r="H76" s="72" t="s">
        <v>6</v>
      </c>
      <c r="I76" s="72" t="s">
        <v>6</v>
      </c>
      <c r="J76" s="72" t="s">
        <v>6</v>
      </c>
      <c r="K76" s="76">
        <f>SUM(K77:K84)</f>
        <v>0</v>
      </c>
      <c r="L76" s="76">
        <f>SUM(L77:L84)</f>
        <v>0</v>
      </c>
      <c r="M76" s="76">
        <f>SUM(M77:M84)</f>
        <v>0</v>
      </c>
      <c r="N76" s="71"/>
      <c r="O76" s="67"/>
      <c r="AI76" s="27" t="s">
        <v>283</v>
      </c>
      <c r="AS76" s="33">
        <f>SUM(AJ77:AJ84)</f>
        <v>0</v>
      </c>
      <c r="AT76" s="33">
        <f>SUM(AK77:AK84)</f>
        <v>0</v>
      </c>
      <c r="AU76" s="33">
        <f>SUM(AL77:AL84)</f>
        <v>0</v>
      </c>
    </row>
    <row r="77" spans="1:64" ht="12.75">
      <c r="A77" s="74" t="s">
        <v>25</v>
      </c>
      <c r="B77" s="74" t="s">
        <v>283</v>
      </c>
      <c r="C77" s="74" t="s">
        <v>309</v>
      </c>
      <c r="D77" s="133" t="s">
        <v>642</v>
      </c>
      <c r="E77" s="134"/>
      <c r="F77" s="134"/>
      <c r="G77" s="135"/>
      <c r="H77" s="74" t="s">
        <v>1535</v>
      </c>
      <c r="I77" s="75">
        <v>61.82</v>
      </c>
      <c r="J77" s="75">
        <v>0</v>
      </c>
      <c r="K77" s="75">
        <f>I77*AO77</f>
        <v>0</v>
      </c>
      <c r="L77" s="75">
        <f>I77*AP77</f>
        <v>0</v>
      </c>
      <c r="M77" s="75">
        <f>I77*J77</f>
        <v>0</v>
      </c>
      <c r="N77" s="78" t="s">
        <v>1556</v>
      </c>
      <c r="O77" s="67"/>
      <c r="Z77" s="28">
        <f>IF(AQ77="5",BJ77,0)</f>
        <v>0</v>
      </c>
      <c r="AB77" s="28">
        <f>IF(AQ77="1",BH77,0)</f>
        <v>0</v>
      </c>
      <c r="AC77" s="28">
        <f>IF(AQ77="1",BI77,0)</f>
        <v>0</v>
      </c>
      <c r="AD77" s="28">
        <f>IF(AQ77="7",BH77,0)</f>
        <v>0</v>
      </c>
      <c r="AE77" s="28">
        <f>IF(AQ77="7",BI77,0)</f>
        <v>0</v>
      </c>
      <c r="AF77" s="28">
        <f>IF(AQ77="2",BH77,0)</f>
        <v>0</v>
      </c>
      <c r="AG77" s="28">
        <f>IF(AQ77="2",BI77,0)</f>
        <v>0</v>
      </c>
      <c r="AH77" s="28">
        <f>IF(AQ77="0",BJ77,0)</f>
        <v>0</v>
      </c>
      <c r="AI77" s="27" t="s">
        <v>283</v>
      </c>
      <c r="AJ77" s="18">
        <f>IF(AN77=0,M77,0)</f>
        <v>0</v>
      </c>
      <c r="AK77" s="18">
        <f>IF(AN77=15,M77,0)</f>
        <v>0</v>
      </c>
      <c r="AL77" s="18">
        <f>IF(AN77=21,M77,0)</f>
        <v>0</v>
      </c>
      <c r="AN77" s="28">
        <v>15</v>
      </c>
      <c r="AO77" s="28">
        <f>J77*0.189452449567723</f>
        <v>0</v>
      </c>
      <c r="AP77" s="28">
        <f>J77*(1-0.189452449567723)</f>
        <v>0</v>
      </c>
      <c r="AQ77" s="29" t="s">
        <v>7</v>
      </c>
      <c r="AV77" s="28">
        <f>AW77+AX77</f>
        <v>0</v>
      </c>
      <c r="AW77" s="28">
        <f>I77*AO77</f>
        <v>0</v>
      </c>
      <c r="AX77" s="28">
        <f>I77*AP77</f>
        <v>0</v>
      </c>
      <c r="AY77" s="31" t="s">
        <v>1578</v>
      </c>
      <c r="AZ77" s="31" t="s">
        <v>1616</v>
      </c>
      <c r="BA77" s="27" t="s">
        <v>1628</v>
      </c>
      <c r="BC77" s="28">
        <f>AW77+AX77</f>
        <v>0</v>
      </c>
      <c r="BD77" s="28">
        <f>J77/(100-BE77)*100</f>
        <v>0</v>
      </c>
      <c r="BE77" s="28">
        <v>0</v>
      </c>
      <c r="BF77" s="28">
        <f>77</f>
        <v>77</v>
      </c>
      <c r="BH77" s="18">
        <f>I77*AO77</f>
        <v>0</v>
      </c>
      <c r="BI77" s="18">
        <f>I77*AP77</f>
        <v>0</v>
      </c>
      <c r="BJ77" s="18">
        <f>I77*J77</f>
        <v>0</v>
      </c>
      <c r="BK77" s="18" t="s">
        <v>1634</v>
      </c>
      <c r="BL77" s="28">
        <v>34</v>
      </c>
    </row>
    <row r="78" spans="1:15" ht="12.75">
      <c r="A78" s="3"/>
      <c r="D78" s="136" t="s">
        <v>643</v>
      </c>
      <c r="E78" s="137"/>
      <c r="F78" s="137"/>
      <c r="G78" s="137"/>
      <c r="H78" s="137"/>
      <c r="I78" s="137"/>
      <c r="J78" s="137"/>
      <c r="K78" s="137"/>
      <c r="L78" s="137"/>
      <c r="M78" s="137"/>
      <c r="N78" s="138"/>
      <c r="O78" s="3"/>
    </row>
    <row r="79" spans="1:15" ht="12.75">
      <c r="A79" s="89"/>
      <c r="B79" s="90"/>
      <c r="C79" s="90"/>
      <c r="D79" s="84" t="s">
        <v>644</v>
      </c>
      <c r="G79" s="91" t="s">
        <v>1343</v>
      </c>
      <c r="H79" s="90"/>
      <c r="I79" s="92">
        <v>50.4</v>
      </c>
      <c r="J79" s="90"/>
      <c r="K79" s="90"/>
      <c r="L79" s="90"/>
      <c r="M79" s="90"/>
      <c r="N79" s="79"/>
      <c r="O79" s="67"/>
    </row>
    <row r="80" spans="1:15" ht="12.75">
      <c r="A80" s="89"/>
      <c r="B80" s="90"/>
      <c r="C80" s="90"/>
      <c r="D80" s="84" t="s">
        <v>645</v>
      </c>
      <c r="G80" s="91" t="s">
        <v>1344</v>
      </c>
      <c r="H80" s="90"/>
      <c r="I80" s="92">
        <v>10</v>
      </c>
      <c r="J80" s="90"/>
      <c r="K80" s="90"/>
      <c r="L80" s="90"/>
      <c r="M80" s="90"/>
      <c r="N80" s="79"/>
      <c r="O80" s="67"/>
    </row>
    <row r="81" spans="1:15" ht="12.75">
      <c r="A81" s="82"/>
      <c r="B81" s="83"/>
      <c r="C81" s="83"/>
      <c r="D81" s="85" t="s">
        <v>646</v>
      </c>
      <c r="G81" s="86" t="s">
        <v>1345</v>
      </c>
      <c r="H81" s="83"/>
      <c r="I81" s="88">
        <v>1.42</v>
      </c>
      <c r="J81" s="83"/>
      <c r="K81" s="83"/>
      <c r="L81" s="83"/>
      <c r="M81" s="83"/>
      <c r="N81" s="80"/>
      <c r="O81" s="67"/>
    </row>
    <row r="82" spans="1:15" ht="38.25" customHeight="1">
      <c r="A82" s="3"/>
      <c r="C82" s="13" t="s">
        <v>302</v>
      </c>
      <c r="D82" s="145" t="s">
        <v>647</v>
      </c>
      <c r="E82" s="146"/>
      <c r="F82" s="146"/>
      <c r="G82" s="146"/>
      <c r="H82" s="146"/>
      <c r="I82" s="146"/>
      <c r="J82" s="146"/>
      <c r="K82" s="146"/>
      <c r="L82" s="146"/>
      <c r="M82" s="146"/>
      <c r="N82" s="147"/>
      <c r="O82" s="3"/>
    </row>
    <row r="83" spans="1:15" ht="12.75">
      <c r="A83" s="3"/>
      <c r="C83" s="12" t="s">
        <v>296</v>
      </c>
      <c r="D83" s="142" t="s">
        <v>622</v>
      </c>
      <c r="E83" s="143"/>
      <c r="F83" s="143"/>
      <c r="G83" s="143"/>
      <c r="H83" s="143"/>
      <c r="I83" s="143"/>
      <c r="J83" s="143"/>
      <c r="K83" s="143"/>
      <c r="L83" s="143"/>
      <c r="M83" s="143"/>
      <c r="N83" s="144"/>
      <c r="O83" s="3"/>
    </row>
    <row r="84" spans="1:64" ht="12.75">
      <c r="A84" s="74" t="s">
        <v>26</v>
      </c>
      <c r="B84" s="74" t="s">
        <v>283</v>
      </c>
      <c r="C84" s="74" t="s">
        <v>310</v>
      </c>
      <c r="D84" s="133" t="s">
        <v>648</v>
      </c>
      <c r="E84" s="134"/>
      <c r="F84" s="134"/>
      <c r="G84" s="135"/>
      <c r="H84" s="74" t="s">
        <v>1535</v>
      </c>
      <c r="I84" s="75">
        <v>61.82</v>
      </c>
      <c r="J84" s="75">
        <v>0</v>
      </c>
      <c r="K84" s="75">
        <f>I84*AO84</f>
        <v>0</v>
      </c>
      <c r="L84" s="75">
        <f>I84*AP84</f>
        <v>0</v>
      </c>
      <c r="M84" s="75">
        <f>I84*J84</f>
        <v>0</v>
      </c>
      <c r="N84" s="78" t="s">
        <v>1556</v>
      </c>
      <c r="O84" s="67"/>
      <c r="Z84" s="28">
        <f>IF(AQ84="5",BJ84,0)</f>
        <v>0</v>
      </c>
      <c r="AB84" s="28">
        <f>IF(AQ84="1",BH84,0)</f>
        <v>0</v>
      </c>
      <c r="AC84" s="28">
        <f>IF(AQ84="1",BI84,0)</f>
        <v>0</v>
      </c>
      <c r="AD84" s="28">
        <f>IF(AQ84="7",BH84,0)</f>
        <v>0</v>
      </c>
      <c r="AE84" s="28">
        <f>IF(AQ84="7",BI84,0)</f>
        <v>0</v>
      </c>
      <c r="AF84" s="28">
        <f>IF(AQ84="2",BH84,0)</f>
        <v>0</v>
      </c>
      <c r="AG84" s="28">
        <f>IF(AQ84="2",BI84,0)</f>
        <v>0</v>
      </c>
      <c r="AH84" s="28">
        <f>IF(AQ84="0",BJ84,0)</f>
        <v>0</v>
      </c>
      <c r="AI84" s="27" t="s">
        <v>283</v>
      </c>
      <c r="AJ84" s="18">
        <f>IF(AN84=0,M84,0)</f>
        <v>0</v>
      </c>
      <c r="AK84" s="18">
        <f>IF(AN84=15,M84,0)</f>
        <v>0</v>
      </c>
      <c r="AL84" s="18">
        <f>IF(AN84=21,M84,0)</f>
        <v>0</v>
      </c>
      <c r="AN84" s="28">
        <v>15</v>
      </c>
      <c r="AO84" s="28">
        <f>J84*0</f>
        <v>0</v>
      </c>
      <c r="AP84" s="28">
        <f>J84*(1-0)</f>
        <v>0</v>
      </c>
      <c r="AQ84" s="29" t="s">
        <v>7</v>
      </c>
      <c r="AV84" s="28">
        <f>AW84+AX84</f>
        <v>0</v>
      </c>
      <c r="AW84" s="28">
        <f>I84*AO84</f>
        <v>0</v>
      </c>
      <c r="AX84" s="28">
        <f>I84*AP84</f>
        <v>0</v>
      </c>
      <c r="AY84" s="31" t="s">
        <v>1578</v>
      </c>
      <c r="AZ84" s="31" t="s">
        <v>1616</v>
      </c>
      <c r="BA84" s="27" t="s">
        <v>1628</v>
      </c>
      <c r="BC84" s="28">
        <f>AW84+AX84</f>
        <v>0</v>
      </c>
      <c r="BD84" s="28">
        <f>J84/(100-BE84)*100</f>
        <v>0</v>
      </c>
      <c r="BE84" s="28">
        <v>0</v>
      </c>
      <c r="BF84" s="28">
        <f>84</f>
        <v>84</v>
      </c>
      <c r="BH84" s="18">
        <f>I84*AO84</f>
        <v>0</v>
      </c>
      <c r="BI84" s="18">
        <f>I84*AP84</f>
        <v>0</v>
      </c>
      <c r="BJ84" s="18">
        <f>I84*J84</f>
        <v>0</v>
      </c>
      <c r="BK84" s="18" t="s">
        <v>1634</v>
      </c>
      <c r="BL84" s="28">
        <v>34</v>
      </c>
    </row>
    <row r="85" spans="1:15" ht="12.75">
      <c r="A85" s="3"/>
      <c r="D85" s="136" t="s">
        <v>649</v>
      </c>
      <c r="E85" s="137"/>
      <c r="F85" s="137"/>
      <c r="G85" s="137"/>
      <c r="H85" s="137"/>
      <c r="I85" s="137"/>
      <c r="J85" s="137"/>
      <c r="K85" s="137"/>
      <c r="L85" s="137"/>
      <c r="M85" s="137"/>
      <c r="N85" s="138"/>
      <c r="O85" s="3"/>
    </row>
    <row r="86" spans="1:15" ht="12.75">
      <c r="A86" s="82"/>
      <c r="B86" s="83"/>
      <c r="C86" s="83"/>
      <c r="D86" s="85" t="s">
        <v>650</v>
      </c>
      <c r="G86" s="86" t="s">
        <v>1346</v>
      </c>
      <c r="H86" s="83"/>
      <c r="I86" s="88">
        <v>61.82</v>
      </c>
      <c r="J86" s="83"/>
      <c r="K86" s="83"/>
      <c r="L86" s="83"/>
      <c r="M86" s="83"/>
      <c r="N86" s="80"/>
      <c r="O86" s="67"/>
    </row>
    <row r="87" spans="1:15" ht="12.75">
      <c r="A87" s="3"/>
      <c r="C87" s="13" t="s">
        <v>302</v>
      </c>
      <c r="D87" s="145" t="s">
        <v>651</v>
      </c>
      <c r="E87" s="146"/>
      <c r="F87" s="146"/>
      <c r="G87" s="146"/>
      <c r="H87" s="146"/>
      <c r="I87" s="146"/>
      <c r="J87" s="146"/>
      <c r="K87" s="146"/>
      <c r="L87" s="146"/>
      <c r="M87" s="146"/>
      <c r="N87" s="147"/>
      <c r="O87" s="3"/>
    </row>
    <row r="88" spans="1:15" ht="12.75">
      <c r="A88" s="3"/>
      <c r="C88" s="12" t="s">
        <v>296</v>
      </c>
      <c r="D88" s="142" t="s">
        <v>622</v>
      </c>
      <c r="E88" s="143"/>
      <c r="F88" s="143"/>
      <c r="G88" s="143"/>
      <c r="H88" s="143"/>
      <c r="I88" s="143"/>
      <c r="J88" s="143"/>
      <c r="K88" s="143"/>
      <c r="L88" s="143"/>
      <c r="M88" s="143"/>
      <c r="N88" s="144"/>
      <c r="O88" s="3"/>
    </row>
    <row r="89" spans="1:47" ht="12.75">
      <c r="A89" s="72"/>
      <c r="B89" s="73" t="s">
        <v>283</v>
      </c>
      <c r="C89" s="73" t="s">
        <v>65</v>
      </c>
      <c r="D89" s="130" t="s">
        <v>652</v>
      </c>
      <c r="E89" s="131"/>
      <c r="F89" s="131"/>
      <c r="G89" s="132"/>
      <c r="H89" s="72" t="s">
        <v>6</v>
      </c>
      <c r="I89" s="72" t="s">
        <v>6</v>
      </c>
      <c r="J89" s="72" t="s">
        <v>6</v>
      </c>
      <c r="K89" s="76">
        <f>SUM(K90:K104)</f>
        <v>0</v>
      </c>
      <c r="L89" s="76">
        <f>SUM(L90:L104)</f>
        <v>0</v>
      </c>
      <c r="M89" s="76">
        <f>SUM(M90:M104)</f>
        <v>0</v>
      </c>
      <c r="N89" s="71"/>
      <c r="O89" s="67"/>
      <c r="AI89" s="27" t="s">
        <v>283</v>
      </c>
      <c r="AS89" s="33">
        <f>SUM(AJ90:AJ104)</f>
        <v>0</v>
      </c>
      <c r="AT89" s="33">
        <f>SUM(AK90:AK104)</f>
        <v>0</v>
      </c>
      <c r="AU89" s="33">
        <f>SUM(AL90:AL104)</f>
        <v>0</v>
      </c>
    </row>
    <row r="90" spans="1:64" ht="12.75">
      <c r="A90" s="74" t="s">
        <v>27</v>
      </c>
      <c r="B90" s="74" t="s">
        <v>283</v>
      </c>
      <c r="C90" s="74" t="s">
        <v>311</v>
      </c>
      <c r="D90" s="133" t="s">
        <v>653</v>
      </c>
      <c r="E90" s="134"/>
      <c r="F90" s="134"/>
      <c r="G90" s="135"/>
      <c r="H90" s="74" t="s">
        <v>1535</v>
      </c>
      <c r="I90" s="75">
        <v>25.12</v>
      </c>
      <c r="J90" s="75">
        <v>0</v>
      </c>
      <c r="K90" s="75">
        <f>I90*AO90</f>
        <v>0</v>
      </c>
      <c r="L90" s="75">
        <f>I90*AP90</f>
        <v>0</v>
      </c>
      <c r="M90" s="75">
        <f>I90*J90</f>
        <v>0</v>
      </c>
      <c r="N90" s="78" t="s">
        <v>1556</v>
      </c>
      <c r="O90" s="67"/>
      <c r="Z90" s="28">
        <f>IF(AQ90="5",BJ90,0)</f>
        <v>0</v>
      </c>
      <c r="AB90" s="28">
        <f>IF(AQ90="1",BH90,0)</f>
        <v>0</v>
      </c>
      <c r="AC90" s="28">
        <f>IF(AQ90="1",BI90,0)</f>
        <v>0</v>
      </c>
      <c r="AD90" s="28">
        <f>IF(AQ90="7",BH90,0)</f>
        <v>0</v>
      </c>
      <c r="AE90" s="28">
        <f>IF(AQ90="7",BI90,0)</f>
        <v>0</v>
      </c>
      <c r="AF90" s="28">
        <f>IF(AQ90="2",BH90,0)</f>
        <v>0</v>
      </c>
      <c r="AG90" s="28">
        <f>IF(AQ90="2",BI90,0)</f>
        <v>0</v>
      </c>
      <c r="AH90" s="28">
        <f>IF(AQ90="0",BJ90,0)</f>
        <v>0</v>
      </c>
      <c r="AI90" s="27" t="s">
        <v>283</v>
      </c>
      <c r="AJ90" s="18">
        <f>IF(AN90=0,M90,0)</f>
        <v>0</v>
      </c>
      <c r="AK90" s="18">
        <f>IF(AN90=15,M90,0)</f>
        <v>0</v>
      </c>
      <c r="AL90" s="18">
        <f>IF(AN90=21,M90,0)</f>
        <v>0</v>
      </c>
      <c r="AN90" s="28">
        <v>15</v>
      </c>
      <c r="AO90" s="28">
        <f>J90*0.698404802744426</f>
        <v>0</v>
      </c>
      <c r="AP90" s="28">
        <f>J90*(1-0.698404802744426)</f>
        <v>0</v>
      </c>
      <c r="AQ90" s="29" t="s">
        <v>7</v>
      </c>
      <c r="AV90" s="28">
        <f>AW90+AX90</f>
        <v>0</v>
      </c>
      <c r="AW90" s="28">
        <f>I90*AO90</f>
        <v>0</v>
      </c>
      <c r="AX90" s="28">
        <f>I90*AP90</f>
        <v>0</v>
      </c>
      <c r="AY90" s="31" t="s">
        <v>1579</v>
      </c>
      <c r="AZ90" s="31" t="s">
        <v>1617</v>
      </c>
      <c r="BA90" s="27" t="s">
        <v>1628</v>
      </c>
      <c r="BC90" s="28">
        <f>AW90+AX90</f>
        <v>0</v>
      </c>
      <c r="BD90" s="28">
        <f>J90/(100-BE90)*100</f>
        <v>0</v>
      </c>
      <c r="BE90" s="28">
        <v>0</v>
      </c>
      <c r="BF90" s="28">
        <f>90</f>
        <v>90</v>
      </c>
      <c r="BH90" s="18">
        <f>I90*AO90</f>
        <v>0</v>
      </c>
      <c r="BI90" s="18">
        <f>I90*AP90</f>
        <v>0</v>
      </c>
      <c r="BJ90" s="18">
        <f>I90*J90</f>
        <v>0</v>
      </c>
      <c r="BK90" s="18" t="s">
        <v>1634</v>
      </c>
      <c r="BL90" s="28">
        <v>59</v>
      </c>
    </row>
    <row r="91" spans="1:15" ht="25.5" customHeight="1">
      <c r="A91" s="3"/>
      <c r="D91" s="136" t="s">
        <v>654</v>
      </c>
      <c r="E91" s="137"/>
      <c r="F91" s="137"/>
      <c r="G91" s="137"/>
      <c r="H91" s="137"/>
      <c r="I91" s="137"/>
      <c r="J91" s="137"/>
      <c r="K91" s="137"/>
      <c r="L91" s="137"/>
      <c r="M91" s="137"/>
      <c r="N91" s="138"/>
      <c r="O91" s="3"/>
    </row>
    <row r="92" spans="1:15" ht="12.75">
      <c r="A92" s="89"/>
      <c r="B92" s="90"/>
      <c r="C92" s="90"/>
      <c r="D92" s="84" t="s">
        <v>655</v>
      </c>
      <c r="G92" s="91" t="s">
        <v>1341</v>
      </c>
      <c r="H92" s="90"/>
      <c r="I92" s="92">
        <v>23.795</v>
      </c>
      <c r="J92" s="90"/>
      <c r="K92" s="90"/>
      <c r="L92" s="90"/>
      <c r="M92" s="90"/>
      <c r="N92" s="79"/>
      <c r="O92" s="67"/>
    </row>
    <row r="93" spans="1:15" ht="12.75">
      <c r="A93" s="82"/>
      <c r="B93" s="83"/>
      <c r="C93" s="83"/>
      <c r="D93" s="85" t="s">
        <v>656</v>
      </c>
      <c r="G93" s="86" t="s">
        <v>1347</v>
      </c>
      <c r="H93" s="83"/>
      <c r="I93" s="88">
        <v>1.325</v>
      </c>
      <c r="J93" s="83"/>
      <c r="K93" s="83"/>
      <c r="L93" s="83"/>
      <c r="M93" s="83"/>
      <c r="N93" s="80"/>
      <c r="O93" s="67"/>
    </row>
    <row r="94" spans="1:15" ht="12.75">
      <c r="A94" s="3"/>
      <c r="C94" s="12" t="s">
        <v>296</v>
      </c>
      <c r="D94" s="142" t="s">
        <v>622</v>
      </c>
      <c r="E94" s="143"/>
      <c r="F94" s="143"/>
      <c r="G94" s="143"/>
      <c r="H94" s="143"/>
      <c r="I94" s="143"/>
      <c r="J94" s="143"/>
      <c r="K94" s="143"/>
      <c r="L94" s="143"/>
      <c r="M94" s="143"/>
      <c r="N94" s="144"/>
      <c r="O94" s="3"/>
    </row>
    <row r="95" spans="1:64" ht="12.75">
      <c r="A95" s="74" t="s">
        <v>28</v>
      </c>
      <c r="B95" s="74" t="s">
        <v>283</v>
      </c>
      <c r="C95" s="74" t="s">
        <v>312</v>
      </c>
      <c r="D95" s="133" t="s">
        <v>657</v>
      </c>
      <c r="E95" s="134"/>
      <c r="F95" s="134"/>
      <c r="G95" s="135"/>
      <c r="H95" s="74" t="s">
        <v>1535</v>
      </c>
      <c r="I95" s="75">
        <v>7.91</v>
      </c>
      <c r="J95" s="75">
        <v>0</v>
      </c>
      <c r="K95" s="75">
        <f>I95*AO95</f>
        <v>0</v>
      </c>
      <c r="L95" s="75">
        <f>I95*AP95</f>
        <v>0</v>
      </c>
      <c r="M95" s="75">
        <f>I95*J95</f>
        <v>0</v>
      </c>
      <c r="N95" s="78" t="s">
        <v>1556</v>
      </c>
      <c r="O95" s="67"/>
      <c r="Z95" s="28">
        <f>IF(AQ95="5",BJ95,0)</f>
        <v>0</v>
      </c>
      <c r="AB95" s="28">
        <f>IF(AQ95="1",BH95,0)</f>
        <v>0</v>
      </c>
      <c r="AC95" s="28">
        <f>IF(AQ95="1",BI95,0)</f>
        <v>0</v>
      </c>
      <c r="AD95" s="28">
        <f>IF(AQ95="7",BH95,0)</f>
        <v>0</v>
      </c>
      <c r="AE95" s="28">
        <f>IF(AQ95="7",BI95,0)</f>
        <v>0</v>
      </c>
      <c r="AF95" s="28">
        <f>IF(AQ95="2",BH95,0)</f>
        <v>0</v>
      </c>
      <c r="AG95" s="28">
        <f>IF(AQ95="2",BI95,0)</f>
        <v>0</v>
      </c>
      <c r="AH95" s="28">
        <f>IF(AQ95="0",BJ95,0)</f>
        <v>0</v>
      </c>
      <c r="AI95" s="27" t="s">
        <v>283</v>
      </c>
      <c r="AJ95" s="18">
        <f>IF(AN95=0,M95,0)</f>
        <v>0</v>
      </c>
      <c r="AK95" s="18">
        <f>IF(AN95=15,M95,0)</f>
        <v>0</v>
      </c>
      <c r="AL95" s="18">
        <f>IF(AN95=21,M95,0)</f>
        <v>0</v>
      </c>
      <c r="AN95" s="28">
        <v>15</v>
      </c>
      <c r="AO95" s="28">
        <f>J95*0.179110005873311</f>
        <v>0</v>
      </c>
      <c r="AP95" s="28">
        <f>J95*(1-0.179110005873311)</f>
        <v>0</v>
      </c>
      <c r="AQ95" s="29" t="s">
        <v>7</v>
      </c>
      <c r="AV95" s="28">
        <f>AW95+AX95</f>
        <v>0</v>
      </c>
      <c r="AW95" s="28">
        <f>I95*AO95</f>
        <v>0</v>
      </c>
      <c r="AX95" s="28">
        <f>I95*AP95</f>
        <v>0</v>
      </c>
      <c r="AY95" s="31" t="s">
        <v>1579</v>
      </c>
      <c r="AZ95" s="31" t="s">
        <v>1617</v>
      </c>
      <c r="BA95" s="27" t="s">
        <v>1628</v>
      </c>
      <c r="BC95" s="28">
        <f>AW95+AX95</f>
        <v>0</v>
      </c>
      <c r="BD95" s="28">
        <f>J95/(100-BE95)*100</f>
        <v>0</v>
      </c>
      <c r="BE95" s="28">
        <v>0</v>
      </c>
      <c r="BF95" s="28">
        <f>95</f>
        <v>95</v>
      </c>
      <c r="BH95" s="18">
        <f>I95*AO95</f>
        <v>0</v>
      </c>
      <c r="BI95" s="18">
        <f>I95*AP95</f>
        <v>0</v>
      </c>
      <c r="BJ95" s="18">
        <f>I95*J95</f>
        <v>0</v>
      </c>
      <c r="BK95" s="18" t="s">
        <v>1634</v>
      </c>
      <c r="BL95" s="28">
        <v>59</v>
      </c>
    </row>
    <row r="96" spans="1:15" ht="12.75">
      <c r="A96" s="3"/>
      <c r="D96" s="136" t="s">
        <v>658</v>
      </c>
      <c r="E96" s="137"/>
      <c r="F96" s="137"/>
      <c r="G96" s="137"/>
      <c r="H96" s="137"/>
      <c r="I96" s="137"/>
      <c r="J96" s="137"/>
      <c r="K96" s="137"/>
      <c r="L96" s="137"/>
      <c r="M96" s="137"/>
      <c r="N96" s="138"/>
      <c r="O96" s="3"/>
    </row>
    <row r="97" spans="1:15" ht="12.75">
      <c r="A97" s="82"/>
      <c r="B97" s="83"/>
      <c r="C97" s="83"/>
      <c r="D97" s="85" t="s">
        <v>659</v>
      </c>
      <c r="G97" s="86" t="s">
        <v>1348</v>
      </c>
      <c r="H97" s="83"/>
      <c r="I97" s="88">
        <v>7.91</v>
      </c>
      <c r="J97" s="83"/>
      <c r="K97" s="83"/>
      <c r="L97" s="83"/>
      <c r="M97" s="83"/>
      <c r="N97" s="80"/>
      <c r="O97" s="67"/>
    </row>
    <row r="98" spans="1:15" ht="25.5" customHeight="1">
      <c r="A98" s="3"/>
      <c r="C98" s="13" t="s">
        <v>302</v>
      </c>
      <c r="D98" s="145" t="s">
        <v>660</v>
      </c>
      <c r="E98" s="146"/>
      <c r="F98" s="146"/>
      <c r="G98" s="146"/>
      <c r="H98" s="146"/>
      <c r="I98" s="146"/>
      <c r="J98" s="146"/>
      <c r="K98" s="146"/>
      <c r="L98" s="146"/>
      <c r="M98" s="146"/>
      <c r="N98" s="147"/>
      <c r="O98" s="3"/>
    </row>
    <row r="99" spans="1:15" ht="12.75">
      <c r="A99" s="3"/>
      <c r="C99" s="12" t="s">
        <v>296</v>
      </c>
      <c r="D99" s="142" t="s">
        <v>622</v>
      </c>
      <c r="E99" s="143"/>
      <c r="F99" s="143"/>
      <c r="G99" s="143"/>
      <c r="H99" s="143"/>
      <c r="I99" s="143"/>
      <c r="J99" s="143"/>
      <c r="K99" s="143"/>
      <c r="L99" s="143"/>
      <c r="M99" s="143"/>
      <c r="N99" s="144"/>
      <c r="O99" s="3"/>
    </row>
    <row r="100" spans="1:64" ht="12.75">
      <c r="A100" s="81" t="s">
        <v>29</v>
      </c>
      <c r="B100" s="81" t="s">
        <v>283</v>
      </c>
      <c r="C100" s="81" t="s">
        <v>313</v>
      </c>
      <c r="D100" s="139" t="s">
        <v>661</v>
      </c>
      <c r="E100" s="134"/>
      <c r="F100" s="134"/>
      <c r="G100" s="140"/>
      <c r="H100" s="81" t="s">
        <v>1539</v>
      </c>
      <c r="I100" s="87">
        <v>28.08</v>
      </c>
      <c r="J100" s="87">
        <v>0</v>
      </c>
      <c r="K100" s="87">
        <f>I100*AO100</f>
        <v>0</v>
      </c>
      <c r="L100" s="87">
        <f>I100*AP100</f>
        <v>0</v>
      </c>
      <c r="M100" s="87">
        <f>I100*J100</f>
        <v>0</v>
      </c>
      <c r="N100" s="77" t="s">
        <v>1556</v>
      </c>
      <c r="O100" s="67"/>
      <c r="Z100" s="28">
        <f>IF(AQ100="5",BJ100,0)</f>
        <v>0</v>
      </c>
      <c r="AB100" s="28">
        <f>IF(AQ100="1",BH100,0)</f>
        <v>0</v>
      </c>
      <c r="AC100" s="28">
        <f>IF(AQ100="1",BI100,0)</f>
        <v>0</v>
      </c>
      <c r="AD100" s="28">
        <f>IF(AQ100="7",BH100,0)</f>
        <v>0</v>
      </c>
      <c r="AE100" s="28">
        <f>IF(AQ100="7",BI100,0)</f>
        <v>0</v>
      </c>
      <c r="AF100" s="28">
        <f>IF(AQ100="2",BH100,0)</f>
        <v>0</v>
      </c>
      <c r="AG100" s="28">
        <f>IF(AQ100="2",BI100,0)</f>
        <v>0</v>
      </c>
      <c r="AH100" s="28">
        <f>IF(AQ100="0",BJ100,0)</f>
        <v>0</v>
      </c>
      <c r="AI100" s="27" t="s">
        <v>283</v>
      </c>
      <c r="AJ100" s="18">
        <f>IF(AN100=0,M100,0)</f>
        <v>0</v>
      </c>
      <c r="AK100" s="18">
        <f>IF(AN100=15,M100,0)</f>
        <v>0</v>
      </c>
      <c r="AL100" s="18">
        <f>IF(AN100=21,M100,0)</f>
        <v>0</v>
      </c>
      <c r="AN100" s="28">
        <v>15</v>
      </c>
      <c r="AO100" s="28">
        <f>J100*0.058544061302682</f>
        <v>0</v>
      </c>
      <c r="AP100" s="28">
        <f>J100*(1-0.058544061302682)</f>
        <v>0</v>
      </c>
      <c r="AQ100" s="29" t="s">
        <v>7</v>
      </c>
      <c r="AV100" s="28">
        <f>AW100+AX100</f>
        <v>0</v>
      </c>
      <c r="AW100" s="28">
        <f>I100*AO100</f>
        <v>0</v>
      </c>
      <c r="AX100" s="28">
        <f>I100*AP100</f>
        <v>0</v>
      </c>
      <c r="AY100" s="31" t="s">
        <v>1579</v>
      </c>
      <c r="AZ100" s="31" t="s">
        <v>1617</v>
      </c>
      <c r="BA100" s="27" t="s">
        <v>1628</v>
      </c>
      <c r="BC100" s="28">
        <f>AW100+AX100</f>
        <v>0</v>
      </c>
      <c r="BD100" s="28">
        <f>J100/(100-BE100)*100</f>
        <v>0</v>
      </c>
      <c r="BE100" s="28">
        <v>0</v>
      </c>
      <c r="BF100" s="28">
        <f>100</f>
        <v>100</v>
      </c>
      <c r="BH100" s="18">
        <f>I100*AO100</f>
        <v>0</v>
      </c>
      <c r="BI100" s="18">
        <f>I100*AP100</f>
        <v>0</v>
      </c>
      <c r="BJ100" s="18">
        <f>I100*J100</f>
        <v>0</v>
      </c>
      <c r="BK100" s="18" t="s">
        <v>1634</v>
      </c>
      <c r="BL100" s="28">
        <v>59</v>
      </c>
    </row>
    <row r="101" spans="1:15" ht="12.75">
      <c r="A101" s="89"/>
      <c r="B101" s="90"/>
      <c r="C101" s="90"/>
      <c r="D101" s="84" t="s">
        <v>662</v>
      </c>
      <c r="G101" s="91" t="s">
        <v>1349</v>
      </c>
      <c r="H101" s="90"/>
      <c r="I101" s="92">
        <v>14.78</v>
      </c>
      <c r="J101" s="90"/>
      <c r="K101" s="90"/>
      <c r="L101" s="90"/>
      <c r="M101" s="90"/>
      <c r="N101" s="79"/>
      <c r="O101" s="67"/>
    </row>
    <row r="102" spans="1:15" ht="12.75">
      <c r="A102" s="82"/>
      <c r="B102" s="83"/>
      <c r="C102" s="83"/>
      <c r="D102" s="85" t="s">
        <v>663</v>
      </c>
      <c r="G102" s="86" t="s">
        <v>1350</v>
      </c>
      <c r="H102" s="83"/>
      <c r="I102" s="88">
        <v>13.3</v>
      </c>
      <c r="J102" s="83"/>
      <c r="K102" s="83"/>
      <c r="L102" s="83"/>
      <c r="M102" s="83"/>
      <c r="N102" s="80"/>
      <c r="O102" s="67"/>
    </row>
    <row r="103" spans="1:15" ht="12.75">
      <c r="A103" s="3"/>
      <c r="C103" s="12" t="s">
        <v>296</v>
      </c>
      <c r="D103" s="142" t="s">
        <v>622</v>
      </c>
      <c r="E103" s="143"/>
      <c r="F103" s="143"/>
      <c r="G103" s="143"/>
      <c r="H103" s="143"/>
      <c r="I103" s="143"/>
      <c r="J103" s="143"/>
      <c r="K103" s="143"/>
      <c r="L103" s="143"/>
      <c r="M103" s="143"/>
      <c r="N103" s="144"/>
      <c r="O103" s="3"/>
    </row>
    <row r="104" spans="1:64" ht="12.75">
      <c r="A104" s="81" t="s">
        <v>30</v>
      </c>
      <c r="B104" s="81" t="s">
        <v>283</v>
      </c>
      <c r="C104" s="81" t="s">
        <v>314</v>
      </c>
      <c r="D104" s="139" t="s">
        <v>664</v>
      </c>
      <c r="E104" s="134"/>
      <c r="F104" s="134"/>
      <c r="G104" s="140"/>
      <c r="H104" s="81" t="s">
        <v>1535</v>
      </c>
      <c r="I104" s="87">
        <v>7.98</v>
      </c>
      <c r="J104" s="87">
        <v>0</v>
      </c>
      <c r="K104" s="87">
        <f>I104*AO104</f>
        <v>0</v>
      </c>
      <c r="L104" s="87">
        <f>I104*AP104</f>
        <v>0</v>
      </c>
      <c r="M104" s="87">
        <f>I104*J104</f>
        <v>0</v>
      </c>
      <c r="N104" s="77" t="s">
        <v>1556</v>
      </c>
      <c r="O104" s="67"/>
      <c r="Z104" s="28">
        <f>IF(AQ104="5",BJ104,0)</f>
        <v>0</v>
      </c>
      <c r="AB104" s="28">
        <f>IF(AQ104="1",BH104,0)</f>
        <v>0</v>
      </c>
      <c r="AC104" s="28">
        <f>IF(AQ104="1",BI104,0)</f>
        <v>0</v>
      </c>
      <c r="AD104" s="28">
        <f>IF(AQ104="7",BH104,0)</f>
        <v>0</v>
      </c>
      <c r="AE104" s="28">
        <f>IF(AQ104="7",BI104,0)</f>
        <v>0</v>
      </c>
      <c r="AF104" s="28">
        <f>IF(AQ104="2",BH104,0)</f>
        <v>0</v>
      </c>
      <c r="AG104" s="28">
        <f>IF(AQ104="2",BI104,0)</f>
        <v>0</v>
      </c>
      <c r="AH104" s="28">
        <f>IF(AQ104="0",BJ104,0)</f>
        <v>0</v>
      </c>
      <c r="AI104" s="27" t="s">
        <v>283</v>
      </c>
      <c r="AJ104" s="18">
        <f>IF(AN104=0,M104,0)</f>
        <v>0</v>
      </c>
      <c r="AK104" s="18">
        <f>IF(AN104=15,M104,0)</f>
        <v>0</v>
      </c>
      <c r="AL104" s="18">
        <f>IF(AN104=21,M104,0)</f>
        <v>0</v>
      </c>
      <c r="AN104" s="28">
        <v>15</v>
      </c>
      <c r="AO104" s="28">
        <f>J104*0.50156914893617</f>
        <v>0</v>
      </c>
      <c r="AP104" s="28">
        <f>J104*(1-0.50156914893617)</f>
        <v>0</v>
      </c>
      <c r="AQ104" s="29" t="s">
        <v>7</v>
      </c>
      <c r="AV104" s="28">
        <f>AW104+AX104</f>
        <v>0</v>
      </c>
      <c r="AW104" s="28">
        <f>I104*AO104</f>
        <v>0</v>
      </c>
      <c r="AX104" s="28">
        <f>I104*AP104</f>
        <v>0</v>
      </c>
      <c r="AY104" s="31" t="s">
        <v>1579</v>
      </c>
      <c r="AZ104" s="31" t="s">
        <v>1617</v>
      </c>
      <c r="BA104" s="27" t="s">
        <v>1628</v>
      </c>
      <c r="BC104" s="28">
        <f>AW104+AX104</f>
        <v>0</v>
      </c>
      <c r="BD104" s="28">
        <f>J104/(100-BE104)*100</f>
        <v>0</v>
      </c>
      <c r="BE104" s="28">
        <v>0</v>
      </c>
      <c r="BF104" s="28">
        <f>104</f>
        <v>104</v>
      </c>
      <c r="BH104" s="18">
        <f>I104*AO104</f>
        <v>0</v>
      </c>
      <c r="BI104" s="18">
        <f>I104*AP104</f>
        <v>0</v>
      </c>
      <c r="BJ104" s="18">
        <f>I104*J104</f>
        <v>0</v>
      </c>
      <c r="BK104" s="18" t="s">
        <v>1634</v>
      </c>
      <c r="BL104" s="28">
        <v>59</v>
      </c>
    </row>
    <row r="105" spans="1:15" ht="12.75">
      <c r="A105" s="82"/>
      <c r="B105" s="83"/>
      <c r="C105" s="83"/>
      <c r="D105" s="85" t="s">
        <v>665</v>
      </c>
      <c r="G105" s="86" t="s">
        <v>1350</v>
      </c>
      <c r="H105" s="83"/>
      <c r="I105" s="88">
        <v>7.98</v>
      </c>
      <c r="J105" s="83"/>
      <c r="K105" s="83"/>
      <c r="L105" s="83"/>
      <c r="M105" s="83"/>
      <c r="N105" s="80"/>
      <c r="O105" s="67"/>
    </row>
    <row r="106" spans="1:15" ht="12.75">
      <c r="A106" s="3"/>
      <c r="C106" s="12" t="s">
        <v>296</v>
      </c>
      <c r="D106" s="142" t="s">
        <v>622</v>
      </c>
      <c r="E106" s="143"/>
      <c r="F106" s="143"/>
      <c r="G106" s="143"/>
      <c r="H106" s="143"/>
      <c r="I106" s="143"/>
      <c r="J106" s="143"/>
      <c r="K106" s="143"/>
      <c r="L106" s="143"/>
      <c r="M106" s="143"/>
      <c r="N106" s="144"/>
      <c r="O106" s="3"/>
    </row>
    <row r="107" spans="1:47" ht="12.75">
      <c r="A107" s="72"/>
      <c r="B107" s="73" t="s">
        <v>283</v>
      </c>
      <c r="C107" s="73" t="s">
        <v>66</v>
      </c>
      <c r="D107" s="130" t="s">
        <v>666</v>
      </c>
      <c r="E107" s="131"/>
      <c r="F107" s="131"/>
      <c r="G107" s="132"/>
      <c r="H107" s="72" t="s">
        <v>6</v>
      </c>
      <c r="I107" s="72" t="s">
        <v>6</v>
      </c>
      <c r="J107" s="72" t="s">
        <v>6</v>
      </c>
      <c r="K107" s="76">
        <f>SUM(K108:K125)</f>
        <v>0</v>
      </c>
      <c r="L107" s="76">
        <f>SUM(L108:L125)</f>
        <v>0</v>
      </c>
      <c r="M107" s="76">
        <f>SUM(M108:M125)</f>
        <v>0</v>
      </c>
      <c r="N107" s="71"/>
      <c r="O107" s="67"/>
      <c r="AI107" s="27" t="s">
        <v>283</v>
      </c>
      <c r="AS107" s="33">
        <f>SUM(AJ108:AJ125)</f>
        <v>0</v>
      </c>
      <c r="AT107" s="33">
        <f>SUM(AK108:AK125)</f>
        <v>0</v>
      </c>
      <c r="AU107" s="33">
        <f>SUM(AL108:AL125)</f>
        <v>0</v>
      </c>
    </row>
    <row r="108" spans="1:64" ht="12.75">
      <c r="A108" s="74" t="s">
        <v>31</v>
      </c>
      <c r="B108" s="74" t="s">
        <v>283</v>
      </c>
      <c r="C108" s="74" t="s">
        <v>315</v>
      </c>
      <c r="D108" s="133" t="s">
        <v>667</v>
      </c>
      <c r="E108" s="134"/>
      <c r="F108" s="134"/>
      <c r="G108" s="135"/>
      <c r="H108" s="74" t="s">
        <v>1535</v>
      </c>
      <c r="I108" s="75">
        <v>732.25732</v>
      </c>
      <c r="J108" s="75">
        <v>0</v>
      </c>
      <c r="K108" s="75">
        <f>I108*AO108</f>
        <v>0</v>
      </c>
      <c r="L108" s="75">
        <f>I108*AP108</f>
        <v>0</v>
      </c>
      <c r="M108" s="75">
        <f>I108*J108</f>
        <v>0</v>
      </c>
      <c r="N108" s="78" t="s">
        <v>1556</v>
      </c>
      <c r="O108" s="67"/>
      <c r="Z108" s="28">
        <f>IF(AQ108="5",BJ108,0)</f>
        <v>0</v>
      </c>
      <c r="AB108" s="28">
        <f>IF(AQ108="1",BH108,0)</f>
        <v>0</v>
      </c>
      <c r="AC108" s="28">
        <f>IF(AQ108="1",BI108,0)</f>
        <v>0</v>
      </c>
      <c r="AD108" s="28">
        <f>IF(AQ108="7",BH108,0)</f>
        <v>0</v>
      </c>
      <c r="AE108" s="28">
        <f>IF(AQ108="7",BI108,0)</f>
        <v>0</v>
      </c>
      <c r="AF108" s="28">
        <f>IF(AQ108="2",BH108,0)</f>
        <v>0</v>
      </c>
      <c r="AG108" s="28">
        <f>IF(AQ108="2",BI108,0)</f>
        <v>0</v>
      </c>
      <c r="AH108" s="28">
        <f>IF(AQ108="0",BJ108,0)</f>
        <v>0</v>
      </c>
      <c r="AI108" s="27" t="s">
        <v>283</v>
      </c>
      <c r="AJ108" s="18">
        <f>IF(AN108=0,M108,0)</f>
        <v>0</v>
      </c>
      <c r="AK108" s="18">
        <f>IF(AN108=15,M108,0)</f>
        <v>0</v>
      </c>
      <c r="AL108" s="18">
        <f>IF(AN108=21,M108,0)</f>
        <v>0</v>
      </c>
      <c r="AN108" s="28">
        <v>15</v>
      </c>
      <c r="AO108" s="28">
        <f>J108*0.655634737254791</f>
        <v>0</v>
      </c>
      <c r="AP108" s="28">
        <f>J108*(1-0.655634737254791)</f>
        <v>0</v>
      </c>
      <c r="AQ108" s="29" t="s">
        <v>7</v>
      </c>
      <c r="AV108" s="28">
        <f>AW108+AX108</f>
        <v>0</v>
      </c>
      <c r="AW108" s="28">
        <f>I108*AO108</f>
        <v>0</v>
      </c>
      <c r="AX108" s="28">
        <f>I108*AP108</f>
        <v>0</v>
      </c>
      <c r="AY108" s="31" t="s">
        <v>1580</v>
      </c>
      <c r="AZ108" s="31" t="s">
        <v>1618</v>
      </c>
      <c r="BA108" s="27" t="s">
        <v>1628</v>
      </c>
      <c r="BC108" s="28">
        <f>AW108+AX108</f>
        <v>0</v>
      </c>
      <c r="BD108" s="28">
        <f>J108/(100-BE108)*100</f>
        <v>0</v>
      </c>
      <c r="BE108" s="28">
        <v>0</v>
      </c>
      <c r="BF108" s="28">
        <f>108</f>
        <v>108</v>
      </c>
      <c r="BH108" s="18">
        <f>I108*AO108</f>
        <v>0</v>
      </c>
      <c r="BI108" s="18">
        <f>I108*AP108</f>
        <v>0</v>
      </c>
      <c r="BJ108" s="18">
        <f>I108*J108</f>
        <v>0</v>
      </c>
      <c r="BK108" s="18" t="s">
        <v>1634</v>
      </c>
      <c r="BL108" s="28">
        <v>60</v>
      </c>
    </row>
    <row r="109" spans="1:15" ht="12.75">
      <c r="A109" s="3"/>
      <c r="D109" s="136" t="s">
        <v>668</v>
      </c>
      <c r="E109" s="137"/>
      <c r="F109" s="137"/>
      <c r="G109" s="137"/>
      <c r="H109" s="137"/>
      <c r="I109" s="137"/>
      <c r="J109" s="137"/>
      <c r="K109" s="137"/>
      <c r="L109" s="137"/>
      <c r="M109" s="137"/>
      <c r="N109" s="138"/>
      <c r="O109" s="3"/>
    </row>
    <row r="110" spans="1:15" ht="12.75">
      <c r="A110" s="89"/>
      <c r="B110" s="90"/>
      <c r="C110" s="90"/>
      <c r="D110" s="84" t="s">
        <v>669</v>
      </c>
      <c r="G110" s="91" t="s">
        <v>1351</v>
      </c>
      <c r="H110" s="90"/>
      <c r="I110" s="92">
        <v>674.87855</v>
      </c>
      <c r="J110" s="90"/>
      <c r="K110" s="90"/>
      <c r="L110" s="90"/>
      <c r="M110" s="90"/>
      <c r="N110" s="79"/>
      <c r="O110" s="67"/>
    </row>
    <row r="111" spans="1:15" ht="12.75">
      <c r="A111" s="89"/>
      <c r="B111" s="90"/>
      <c r="C111" s="90"/>
      <c r="D111" s="84" t="s">
        <v>670</v>
      </c>
      <c r="G111" s="91" t="s">
        <v>1352</v>
      </c>
      <c r="H111" s="90"/>
      <c r="I111" s="92">
        <v>-55.89773</v>
      </c>
      <c r="J111" s="90"/>
      <c r="K111" s="90"/>
      <c r="L111" s="90"/>
      <c r="M111" s="90"/>
      <c r="N111" s="79"/>
      <c r="O111" s="67"/>
    </row>
    <row r="112" spans="1:15" ht="12.75">
      <c r="A112" s="89"/>
      <c r="B112" s="90"/>
      <c r="C112" s="90"/>
      <c r="D112" s="84" t="s">
        <v>671</v>
      </c>
      <c r="G112" s="91" t="s">
        <v>1353</v>
      </c>
      <c r="H112" s="90"/>
      <c r="I112" s="92">
        <v>70.0955</v>
      </c>
      <c r="J112" s="90"/>
      <c r="K112" s="90"/>
      <c r="L112" s="90"/>
      <c r="M112" s="90"/>
      <c r="N112" s="79"/>
      <c r="O112" s="67"/>
    </row>
    <row r="113" spans="1:15" ht="12.75">
      <c r="A113" s="82"/>
      <c r="B113" s="83"/>
      <c r="C113" s="83"/>
      <c r="D113" s="85" t="s">
        <v>672</v>
      </c>
      <c r="G113" s="86" t="s">
        <v>1354</v>
      </c>
      <c r="H113" s="83"/>
      <c r="I113" s="88">
        <v>43.181</v>
      </c>
      <c r="J113" s="83"/>
      <c r="K113" s="83"/>
      <c r="L113" s="83"/>
      <c r="M113" s="83"/>
      <c r="N113" s="80"/>
      <c r="O113" s="67"/>
    </row>
    <row r="114" spans="1:15" ht="12.75">
      <c r="A114" s="3"/>
      <c r="C114" s="12" t="s">
        <v>296</v>
      </c>
      <c r="D114" s="142" t="s">
        <v>622</v>
      </c>
      <c r="E114" s="143"/>
      <c r="F114" s="143"/>
      <c r="G114" s="143"/>
      <c r="H114" s="143"/>
      <c r="I114" s="143"/>
      <c r="J114" s="143"/>
      <c r="K114" s="143"/>
      <c r="L114" s="143"/>
      <c r="M114" s="143"/>
      <c r="N114" s="144"/>
      <c r="O114" s="3"/>
    </row>
    <row r="115" spans="1:64" ht="12.75">
      <c r="A115" s="81" t="s">
        <v>32</v>
      </c>
      <c r="B115" s="81" t="s">
        <v>283</v>
      </c>
      <c r="C115" s="81" t="s">
        <v>316</v>
      </c>
      <c r="D115" s="139" t="s">
        <v>673</v>
      </c>
      <c r="E115" s="134"/>
      <c r="F115" s="134"/>
      <c r="G115" s="140"/>
      <c r="H115" s="81" t="s">
        <v>1535</v>
      </c>
      <c r="I115" s="87">
        <v>788.15505</v>
      </c>
      <c r="J115" s="87">
        <v>0</v>
      </c>
      <c r="K115" s="87">
        <f>I115*AO115</f>
        <v>0</v>
      </c>
      <c r="L115" s="87">
        <f>I115*AP115</f>
        <v>0</v>
      </c>
      <c r="M115" s="87">
        <f>I115*J115</f>
        <v>0</v>
      </c>
      <c r="N115" s="77" t="s">
        <v>1554</v>
      </c>
      <c r="O115" s="67"/>
      <c r="Z115" s="28">
        <f>IF(AQ115="5",BJ115,0)</f>
        <v>0</v>
      </c>
      <c r="AB115" s="28">
        <f>IF(AQ115="1",BH115,0)</f>
        <v>0</v>
      </c>
      <c r="AC115" s="28">
        <f>IF(AQ115="1",BI115,0)</f>
        <v>0</v>
      </c>
      <c r="AD115" s="28">
        <f>IF(AQ115="7",BH115,0)</f>
        <v>0</v>
      </c>
      <c r="AE115" s="28">
        <f>IF(AQ115="7",BI115,0)</f>
        <v>0</v>
      </c>
      <c r="AF115" s="28">
        <f>IF(AQ115="2",BH115,0)</f>
        <v>0</v>
      </c>
      <c r="AG115" s="28">
        <f>IF(AQ115="2",BI115,0)</f>
        <v>0</v>
      </c>
      <c r="AH115" s="28">
        <f>IF(AQ115="0",BJ115,0)</f>
        <v>0</v>
      </c>
      <c r="AI115" s="27" t="s">
        <v>283</v>
      </c>
      <c r="AJ115" s="18">
        <f>IF(AN115=0,M115,0)</f>
        <v>0</v>
      </c>
      <c r="AK115" s="18">
        <f>IF(AN115=15,M115,0)</f>
        <v>0</v>
      </c>
      <c r="AL115" s="18">
        <f>IF(AN115=21,M115,0)</f>
        <v>0</v>
      </c>
      <c r="AN115" s="28">
        <v>15</v>
      </c>
      <c r="AO115" s="28">
        <f>J115*0.51485297383838</f>
        <v>0</v>
      </c>
      <c r="AP115" s="28">
        <f>J115*(1-0.51485297383838)</f>
        <v>0</v>
      </c>
      <c r="AQ115" s="29" t="s">
        <v>7</v>
      </c>
      <c r="AV115" s="28">
        <f>AW115+AX115</f>
        <v>0</v>
      </c>
      <c r="AW115" s="28">
        <f>I115*AO115</f>
        <v>0</v>
      </c>
      <c r="AX115" s="28">
        <f>I115*AP115</f>
        <v>0</v>
      </c>
      <c r="AY115" s="31" t="s">
        <v>1580</v>
      </c>
      <c r="AZ115" s="31" t="s">
        <v>1618</v>
      </c>
      <c r="BA115" s="27" t="s">
        <v>1628</v>
      </c>
      <c r="BC115" s="28">
        <f>AW115+AX115</f>
        <v>0</v>
      </c>
      <c r="BD115" s="28">
        <f>J115/(100-BE115)*100</f>
        <v>0</v>
      </c>
      <c r="BE115" s="28">
        <v>0</v>
      </c>
      <c r="BF115" s="28">
        <f>115</f>
        <v>115</v>
      </c>
      <c r="BH115" s="18">
        <f>I115*AO115</f>
        <v>0</v>
      </c>
      <c r="BI115" s="18">
        <f>I115*AP115</f>
        <v>0</v>
      </c>
      <c r="BJ115" s="18">
        <f>I115*J115</f>
        <v>0</v>
      </c>
      <c r="BK115" s="18" t="s">
        <v>1634</v>
      </c>
      <c r="BL115" s="28">
        <v>60</v>
      </c>
    </row>
    <row r="116" spans="1:15" ht="12.75">
      <c r="A116" s="89"/>
      <c r="B116" s="90"/>
      <c r="C116" s="90"/>
      <c r="D116" s="84" t="s">
        <v>674</v>
      </c>
      <c r="G116" s="91" t="s">
        <v>1355</v>
      </c>
      <c r="H116" s="90"/>
      <c r="I116" s="92">
        <v>616.17855</v>
      </c>
      <c r="J116" s="90"/>
      <c r="K116" s="90"/>
      <c r="L116" s="90"/>
      <c r="M116" s="90"/>
      <c r="N116" s="79"/>
      <c r="O116" s="67"/>
    </row>
    <row r="117" spans="1:15" ht="12.75">
      <c r="A117" s="89"/>
      <c r="B117" s="90"/>
      <c r="C117" s="90"/>
      <c r="D117" s="84" t="s">
        <v>675</v>
      </c>
      <c r="G117" s="91" t="s">
        <v>1356</v>
      </c>
      <c r="H117" s="90"/>
      <c r="I117" s="92">
        <v>58.7</v>
      </c>
      <c r="J117" s="90"/>
      <c r="K117" s="90"/>
      <c r="L117" s="90"/>
      <c r="M117" s="90"/>
      <c r="N117" s="79"/>
      <c r="O117" s="67"/>
    </row>
    <row r="118" spans="1:15" ht="12.75">
      <c r="A118" s="89"/>
      <c r="B118" s="90"/>
      <c r="C118" s="90"/>
      <c r="D118" s="84" t="s">
        <v>671</v>
      </c>
      <c r="G118" s="91" t="s">
        <v>1353</v>
      </c>
      <c r="H118" s="90"/>
      <c r="I118" s="92">
        <v>70.0955</v>
      </c>
      <c r="J118" s="90"/>
      <c r="K118" s="90"/>
      <c r="L118" s="90"/>
      <c r="M118" s="90"/>
      <c r="N118" s="79"/>
      <c r="O118" s="67"/>
    </row>
    <row r="119" spans="1:15" ht="12.75">
      <c r="A119" s="82"/>
      <c r="B119" s="83"/>
      <c r="C119" s="83"/>
      <c r="D119" s="85" t="s">
        <v>672</v>
      </c>
      <c r="G119" s="86" t="s">
        <v>1354</v>
      </c>
      <c r="H119" s="83"/>
      <c r="I119" s="88">
        <v>43.181</v>
      </c>
      <c r="J119" s="83"/>
      <c r="K119" s="83"/>
      <c r="L119" s="83"/>
      <c r="M119" s="83"/>
      <c r="N119" s="80"/>
      <c r="O119" s="67"/>
    </row>
    <row r="120" spans="1:15" ht="12.75">
      <c r="A120" s="3"/>
      <c r="C120" s="12" t="s">
        <v>296</v>
      </c>
      <c r="D120" s="142" t="s">
        <v>622</v>
      </c>
      <c r="E120" s="143"/>
      <c r="F120" s="143"/>
      <c r="G120" s="143"/>
      <c r="H120" s="143"/>
      <c r="I120" s="143"/>
      <c r="J120" s="143"/>
      <c r="K120" s="143"/>
      <c r="L120" s="143"/>
      <c r="M120" s="143"/>
      <c r="N120" s="144"/>
      <c r="O120" s="3"/>
    </row>
    <row r="121" spans="1:64" ht="12.75">
      <c r="A121" s="81" t="s">
        <v>33</v>
      </c>
      <c r="B121" s="81" t="s">
        <v>283</v>
      </c>
      <c r="C121" s="81" t="s">
        <v>317</v>
      </c>
      <c r="D121" s="139" t="s">
        <v>676</v>
      </c>
      <c r="E121" s="134"/>
      <c r="F121" s="134"/>
      <c r="G121" s="140"/>
      <c r="H121" s="81" t="s">
        <v>1535</v>
      </c>
      <c r="I121" s="87">
        <v>55.89772</v>
      </c>
      <c r="J121" s="87">
        <v>0</v>
      </c>
      <c r="K121" s="87">
        <f>I121*AO121</f>
        <v>0</v>
      </c>
      <c r="L121" s="87">
        <f>I121*AP121</f>
        <v>0</v>
      </c>
      <c r="M121" s="87">
        <f>I121*J121</f>
        <v>0</v>
      </c>
      <c r="N121" s="77" t="s">
        <v>1556</v>
      </c>
      <c r="O121" s="67"/>
      <c r="Z121" s="28">
        <f>IF(AQ121="5",BJ121,0)</f>
        <v>0</v>
      </c>
      <c r="AB121" s="28">
        <f>IF(AQ121="1",BH121,0)</f>
        <v>0</v>
      </c>
      <c r="AC121" s="28">
        <f>IF(AQ121="1",BI121,0)</f>
        <v>0</v>
      </c>
      <c r="AD121" s="28">
        <f>IF(AQ121="7",BH121,0)</f>
        <v>0</v>
      </c>
      <c r="AE121" s="28">
        <f>IF(AQ121="7",BI121,0)</f>
        <v>0</v>
      </c>
      <c r="AF121" s="28">
        <f>IF(AQ121="2",BH121,0)</f>
        <v>0</v>
      </c>
      <c r="AG121" s="28">
        <f>IF(AQ121="2",BI121,0)</f>
        <v>0</v>
      </c>
      <c r="AH121" s="28">
        <f>IF(AQ121="0",BJ121,0)</f>
        <v>0</v>
      </c>
      <c r="AI121" s="27" t="s">
        <v>283</v>
      </c>
      <c r="AJ121" s="18">
        <f>IF(AN121=0,M121,0)</f>
        <v>0</v>
      </c>
      <c r="AK121" s="18">
        <f>IF(AN121=15,M121,0)</f>
        <v>0</v>
      </c>
      <c r="AL121" s="18">
        <f>IF(AN121=21,M121,0)</f>
        <v>0</v>
      </c>
      <c r="AN121" s="28">
        <v>15</v>
      </c>
      <c r="AO121" s="28">
        <f>J121*0.682275487379787</f>
        <v>0</v>
      </c>
      <c r="AP121" s="28">
        <f>J121*(1-0.682275487379787)</f>
        <v>0</v>
      </c>
      <c r="AQ121" s="29" t="s">
        <v>7</v>
      </c>
      <c r="AV121" s="28">
        <f>AW121+AX121</f>
        <v>0</v>
      </c>
      <c r="AW121" s="28">
        <f>I121*AO121</f>
        <v>0</v>
      </c>
      <c r="AX121" s="28">
        <f>I121*AP121</f>
        <v>0</v>
      </c>
      <c r="AY121" s="31" t="s">
        <v>1580</v>
      </c>
      <c r="AZ121" s="31" t="s">
        <v>1618</v>
      </c>
      <c r="BA121" s="27" t="s">
        <v>1628</v>
      </c>
      <c r="BC121" s="28">
        <f>AW121+AX121</f>
        <v>0</v>
      </c>
      <c r="BD121" s="28">
        <f>J121/(100-BE121)*100</f>
        <v>0</v>
      </c>
      <c r="BE121" s="28">
        <v>0</v>
      </c>
      <c r="BF121" s="28">
        <f>121</f>
        <v>121</v>
      </c>
      <c r="BH121" s="18">
        <f>I121*AO121</f>
        <v>0</v>
      </c>
      <c r="BI121" s="18">
        <f>I121*AP121</f>
        <v>0</v>
      </c>
      <c r="BJ121" s="18">
        <f>I121*J121</f>
        <v>0</v>
      </c>
      <c r="BK121" s="18" t="s">
        <v>1634</v>
      </c>
      <c r="BL121" s="28">
        <v>60</v>
      </c>
    </row>
    <row r="122" spans="1:15" ht="12.75">
      <c r="A122" s="89"/>
      <c r="B122" s="90"/>
      <c r="C122" s="90"/>
      <c r="D122" s="84" t="s">
        <v>677</v>
      </c>
      <c r="G122" s="91" t="s">
        <v>1357</v>
      </c>
      <c r="H122" s="90"/>
      <c r="I122" s="92">
        <v>42.71272</v>
      </c>
      <c r="J122" s="90"/>
      <c r="K122" s="90"/>
      <c r="L122" s="90"/>
      <c r="M122" s="90"/>
      <c r="N122" s="79"/>
      <c r="O122" s="67"/>
    </row>
    <row r="123" spans="1:15" ht="12.75">
      <c r="A123" s="82"/>
      <c r="B123" s="83"/>
      <c r="C123" s="83"/>
      <c r="D123" s="85" t="s">
        <v>678</v>
      </c>
      <c r="G123" s="86"/>
      <c r="H123" s="83"/>
      <c r="I123" s="88">
        <v>13.185</v>
      </c>
      <c r="J123" s="83"/>
      <c r="K123" s="83"/>
      <c r="L123" s="83"/>
      <c r="M123" s="83"/>
      <c r="N123" s="80"/>
      <c r="O123" s="67"/>
    </row>
    <row r="124" spans="1:15" ht="12.75">
      <c r="A124" s="3"/>
      <c r="C124" s="12" t="s">
        <v>296</v>
      </c>
      <c r="D124" s="142" t="s">
        <v>622</v>
      </c>
      <c r="E124" s="143"/>
      <c r="F124" s="143"/>
      <c r="G124" s="143"/>
      <c r="H124" s="143"/>
      <c r="I124" s="143"/>
      <c r="J124" s="143"/>
      <c r="K124" s="143"/>
      <c r="L124" s="143"/>
      <c r="M124" s="143"/>
      <c r="N124" s="144"/>
      <c r="O124" s="3"/>
    </row>
    <row r="125" spans="1:64" ht="12.75">
      <c r="A125" s="74" t="s">
        <v>34</v>
      </c>
      <c r="B125" s="74" t="s">
        <v>283</v>
      </c>
      <c r="C125" s="74" t="s">
        <v>318</v>
      </c>
      <c r="D125" s="133" t="s">
        <v>679</v>
      </c>
      <c r="E125" s="134"/>
      <c r="F125" s="134"/>
      <c r="G125" s="135"/>
      <c r="H125" s="74" t="s">
        <v>1535</v>
      </c>
      <c r="I125" s="75">
        <v>179.9555</v>
      </c>
      <c r="J125" s="75">
        <v>0</v>
      </c>
      <c r="K125" s="75">
        <f>I125*AO125</f>
        <v>0</v>
      </c>
      <c r="L125" s="75">
        <f>I125*AP125</f>
        <v>0</v>
      </c>
      <c r="M125" s="75">
        <f>I125*J125</f>
        <v>0</v>
      </c>
      <c r="N125" s="78" t="s">
        <v>1556</v>
      </c>
      <c r="O125" s="67"/>
      <c r="Z125" s="28">
        <f>IF(AQ125="5",BJ125,0)</f>
        <v>0</v>
      </c>
      <c r="AB125" s="28">
        <f>IF(AQ125="1",BH125,0)</f>
        <v>0</v>
      </c>
      <c r="AC125" s="28">
        <f>IF(AQ125="1",BI125,0)</f>
        <v>0</v>
      </c>
      <c r="AD125" s="28">
        <f>IF(AQ125="7",BH125,0)</f>
        <v>0</v>
      </c>
      <c r="AE125" s="28">
        <f>IF(AQ125="7",BI125,0)</f>
        <v>0</v>
      </c>
      <c r="AF125" s="28">
        <f>IF(AQ125="2",BH125,0)</f>
        <v>0</v>
      </c>
      <c r="AG125" s="28">
        <f>IF(AQ125="2",BI125,0)</f>
        <v>0</v>
      </c>
      <c r="AH125" s="28">
        <f>IF(AQ125="0",BJ125,0)</f>
        <v>0</v>
      </c>
      <c r="AI125" s="27" t="s">
        <v>283</v>
      </c>
      <c r="AJ125" s="18">
        <f>IF(AN125=0,M125,0)</f>
        <v>0</v>
      </c>
      <c r="AK125" s="18">
        <f>IF(AN125=15,M125,0)</f>
        <v>0</v>
      </c>
      <c r="AL125" s="18">
        <f>IF(AN125=21,M125,0)</f>
        <v>0</v>
      </c>
      <c r="AN125" s="28">
        <v>15</v>
      </c>
      <c r="AO125" s="28">
        <f>J125*0.552709856468625</f>
        <v>0</v>
      </c>
      <c r="AP125" s="28">
        <f>J125*(1-0.552709856468625)</f>
        <v>0</v>
      </c>
      <c r="AQ125" s="29" t="s">
        <v>7</v>
      </c>
      <c r="AV125" s="28">
        <f>AW125+AX125</f>
        <v>0</v>
      </c>
      <c r="AW125" s="28">
        <f>I125*AO125</f>
        <v>0</v>
      </c>
      <c r="AX125" s="28">
        <f>I125*AP125</f>
        <v>0</v>
      </c>
      <c r="AY125" s="31" t="s">
        <v>1580</v>
      </c>
      <c r="AZ125" s="31" t="s">
        <v>1618</v>
      </c>
      <c r="BA125" s="27" t="s">
        <v>1628</v>
      </c>
      <c r="BC125" s="28">
        <f>AW125+AX125</f>
        <v>0</v>
      </c>
      <c r="BD125" s="28">
        <f>J125/(100-BE125)*100</f>
        <v>0</v>
      </c>
      <c r="BE125" s="28">
        <v>0</v>
      </c>
      <c r="BF125" s="28">
        <f>125</f>
        <v>125</v>
      </c>
      <c r="BH125" s="18">
        <f>I125*AO125</f>
        <v>0</v>
      </c>
      <c r="BI125" s="18">
        <f>I125*AP125</f>
        <v>0</v>
      </c>
      <c r="BJ125" s="18">
        <f>I125*J125</f>
        <v>0</v>
      </c>
      <c r="BK125" s="18" t="s">
        <v>1634</v>
      </c>
      <c r="BL125" s="28">
        <v>60</v>
      </c>
    </row>
    <row r="126" spans="1:15" ht="12.75">
      <c r="A126" s="3"/>
      <c r="D126" s="136" t="s">
        <v>680</v>
      </c>
      <c r="E126" s="137"/>
      <c r="F126" s="137"/>
      <c r="G126" s="137"/>
      <c r="H126" s="137"/>
      <c r="I126" s="137"/>
      <c r="J126" s="137"/>
      <c r="K126" s="137"/>
      <c r="L126" s="137"/>
      <c r="M126" s="137"/>
      <c r="N126" s="138"/>
      <c r="O126" s="3"/>
    </row>
    <row r="127" spans="1:15" ht="12.75">
      <c r="A127" s="89"/>
      <c r="B127" s="90"/>
      <c r="C127" s="90"/>
      <c r="D127" s="84" t="s">
        <v>681</v>
      </c>
      <c r="G127" s="91" t="s">
        <v>1358</v>
      </c>
      <c r="H127" s="90"/>
      <c r="I127" s="92">
        <v>71.6865</v>
      </c>
      <c r="J127" s="90"/>
      <c r="K127" s="90"/>
      <c r="L127" s="90"/>
      <c r="M127" s="90"/>
      <c r="N127" s="79"/>
      <c r="O127" s="67"/>
    </row>
    <row r="128" spans="1:15" ht="12.75">
      <c r="A128" s="82"/>
      <c r="B128" s="83"/>
      <c r="C128" s="83"/>
      <c r="D128" s="85" t="s">
        <v>682</v>
      </c>
      <c r="G128" s="86" t="s">
        <v>1358</v>
      </c>
      <c r="H128" s="83"/>
      <c r="I128" s="88">
        <v>108.269</v>
      </c>
      <c r="J128" s="83"/>
      <c r="K128" s="83"/>
      <c r="L128" s="83"/>
      <c r="M128" s="83"/>
      <c r="N128" s="80"/>
      <c r="O128" s="67"/>
    </row>
    <row r="129" spans="1:15" ht="12.75">
      <c r="A129" s="3"/>
      <c r="C129" s="12" t="s">
        <v>296</v>
      </c>
      <c r="D129" s="142" t="s">
        <v>622</v>
      </c>
      <c r="E129" s="143"/>
      <c r="F129" s="143"/>
      <c r="G129" s="143"/>
      <c r="H129" s="143"/>
      <c r="I129" s="143"/>
      <c r="J129" s="143"/>
      <c r="K129" s="143"/>
      <c r="L129" s="143"/>
      <c r="M129" s="143"/>
      <c r="N129" s="144"/>
      <c r="O129" s="3"/>
    </row>
    <row r="130" spans="1:47" ht="12.75">
      <c r="A130" s="72"/>
      <c r="B130" s="73" t="s">
        <v>283</v>
      </c>
      <c r="C130" s="73" t="s">
        <v>67</v>
      </c>
      <c r="D130" s="130" t="s">
        <v>683</v>
      </c>
      <c r="E130" s="131"/>
      <c r="F130" s="131"/>
      <c r="G130" s="132"/>
      <c r="H130" s="72" t="s">
        <v>6</v>
      </c>
      <c r="I130" s="72" t="s">
        <v>6</v>
      </c>
      <c r="J130" s="72" t="s">
        <v>6</v>
      </c>
      <c r="K130" s="76">
        <f>SUM(K131:K136)</f>
        <v>0</v>
      </c>
      <c r="L130" s="76">
        <f>SUM(L131:L136)</f>
        <v>0</v>
      </c>
      <c r="M130" s="76">
        <f>SUM(M131:M136)</f>
        <v>0</v>
      </c>
      <c r="N130" s="71"/>
      <c r="O130" s="67"/>
      <c r="AI130" s="27" t="s">
        <v>283</v>
      </c>
      <c r="AS130" s="33">
        <f>SUM(AJ131:AJ136)</f>
        <v>0</v>
      </c>
      <c r="AT130" s="33">
        <f>SUM(AK131:AK136)</f>
        <v>0</v>
      </c>
      <c r="AU130" s="33">
        <f>SUM(AL131:AL136)</f>
        <v>0</v>
      </c>
    </row>
    <row r="131" spans="1:64" ht="12.75">
      <c r="A131" s="74" t="s">
        <v>35</v>
      </c>
      <c r="B131" s="74" t="s">
        <v>283</v>
      </c>
      <c r="C131" s="74" t="s">
        <v>319</v>
      </c>
      <c r="D131" s="133" t="s">
        <v>684</v>
      </c>
      <c r="E131" s="134"/>
      <c r="F131" s="134"/>
      <c r="G131" s="135"/>
      <c r="H131" s="74" t="s">
        <v>1535</v>
      </c>
      <c r="I131" s="75">
        <v>73.593</v>
      </c>
      <c r="J131" s="75">
        <v>0</v>
      </c>
      <c r="K131" s="75">
        <f>I131*AO131</f>
        <v>0</v>
      </c>
      <c r="L131" s="75">
        <f>I131*AP131</f>
        <v>0</v>
      </c>
      <c r="M131" s="75">
        <f>I131*J131</f>
        <v>0</v>
      </c>
      <c r="N131" s="78" t="s">
        <v>1557</v>
      </c>
      <c r="O131" s="67"/>
      <c r="Z131" s="28">
        <f>IF(AQ131="5",BJ131,0)</f>
        <v>0</v>
      </c>
      <c r="AB131" s="28">
        <f>IF(AQ131="1",BH131,0)</f>
        <v>0</v>
      </c>
      <c r="AC131" s="28">
        <f>IF(AQ131="1",BI131,0)</f>
        <v>0</v>
      </c>
      <c r="AD131" s="28">
        <f>IF(AQ131="7",BH131,0)</f>
        <v>0</v>
      </c>
      <c r="AE131" s="28">
        <f>IF(AQ131="7",BI131,0)</f>
        <v>0</v>
      </c>
      <c r="AF131" s="28">
        <f>IF(AQ131="2",BH131,0)</f>
        <v>0</v>
      </c>
      <c r="AG131" s="28">
        <f>IF(AQ131="2",BI131,0)</f>
        <v>0</v>
      </c>
      <c r="AH131" s="28">
        <f>IF(AQ131="0",BJ131,0)</f>
        <v>0</v>
      </c>
      <c r="AI131" s="27" t="s">
        <v>283</v>
      </c>
      <c r="AJ131" s="18">
        <f>IF(AN131=0,M131,0)</f>
        <v>0</v>
      </c>
      <c r="AK131" s="18">
        <f>IF(AN131=15,M131,0)</f>
        <v>0</v>
      </c>
      <c r="AL131" s="18">
        <f>IF(AN131=21,M131,0)</f>
        <v>0</v>
      </c>
      <c r="AN131" s="28">
        <v>15</v>
      </c>
      <c r="AO131" s="28">
        <f>J131*0</f>
        <v>0</v>
      </c>
      <c r="AP131" s="28">
        <f>J131*(1-0)</f>
        <v>0</v>
      </c>
      <c r="AQ131" s="29" t="s">
        <v>7</v>
      </c>
      <c r="AV131" s="28">
        <f>AW131+AX131</f>
        <v>0</v>
      </c>
      <c r="AW131" s="28">
        <f>I131*AO131</f>
        <v>0</v>
      </c>
      <c r="AX131" s="28">
        <f>I131*AP131</f>
        <v>0</v>
      </c>
      <c r="AY131" s="31" t="s">
        <v>1581</v>
      </c>
      <c r="AZ131" s="31" t="s">
        <v>1618</v>
      </c>
      <c r="BA131" s="27" t="s">
        <v>1628</v>
      </c>
      <c r="BC131" s="28">
        <f>AW131+AX131</f>
        <v>0</v>
      </c>
      <c r="BD131" s="28">
        <f>J131/(100-BE131)*100</f>
        <v>0</v>
      </c>
      <c r="BE131" s="28">
        <v>0</v>
      </c>
      <c r="BF131" s="28">
        <f>131</f>
        <v>131</v>
      </c>
      <c r="BH131" s="18">
        <f>I131*AO131</f>
        <v>0</v>
      </c>
      <c r="BI131" s="18">
        <f>I131*AP131</f>
        <v>0</v>
      </c>
      <c r="BJ131" s="18">
        <f>I131*J131</f>
        <v>0</v>
      </c>
      <c r="BK131" s="18" t="s">
        <v>1634</v>
      </c>
      <c r="BL131" s="28">
        <v>61</v>
      </c>
    </row>
    <row r="132" spans="1:15" ht="12.75">
      <c r="A132" s="3"/>
      <c r="D132" s="136" t="s">
        <v>685</v>
      </c>
      <c r="E132" s="137"/>
      <c r="F132" s="137"/>
      <c r="G132" s="137"/>
      <c r="H132" s="137"/>
      <c r="I132" s="137"/>
      <c r="J132" s="137"/>
      <c r="K132" s="137"/>
      <c r="L132" s="137"/>
      <c r="M132" s="137"/>
      <c r="N132" s="138"/>
      <c r="O132" s="3"/>
    </row>
    <row r="133" spans="1:15" ht="12.75">
      <c r="A133" s="82"/>
      <c r="B133" s="83"/>
      <c r="C133" s="83"/>
      <c r="D133" s="85" t="s">
        <v>686</v>
      </c>
      <c r="G133" s="86" t="s">
        <v>1359</v>
      </c>
      <c r="H133" s="83"/>
      <c r="I133" s="88">
        <v>73.593</v>
      </c>
      <c r="J133" s="83"/>
      <c r="K133" s="83"/>
      <c r="L133" s="83"/>
      <c r="M133" s="83"/>
      <c r="N133" s="80"/>
      <c r="O133" s="67"/>
    </row>
    <row r="134" spans="1:15" ht="12.75">
      <c r="A134" s="3"/>
      <c r="C134" s="13" t="s">
        <v>302</v>
      </c>
      <c r="D134" s="145" t="s">
        <v>687</v>
      </c>
      <c r="E134" s="146"/>
      <c r="F134" s="146"/>
      <c r="G134" s="146"/>
      <c r="H134" s="146"/>
      <c r="I134" s="146"/>
      <c r="J134" s="146"/>
      <c r="K134" s="146"/>
      <c r="L134" s="146"/>
      <c r="M134" s="146"/>
      <c r="N134" s="147"/>
      <c r="O134" s="3"/>
    </row>
    <row r="135" spans="1:15" ht="12.75">
      <c r="A135" s="3"/>
      <c r="C135" s="12" t="s">
        <v>296</v>
      </c>
      <c r="D135" s="142" t="s">
        <v>622</v>
      </c>
      <c r="E135" s="143"/>
      <c r="F135" s="143"/>
      <c r="G135" s="143"/>
      <c r="H135" s="143"/>
      <c r="I135" s="143"/>
      <c r="J135" s="143"/>
      <c r="K135" s="143"/>
      <c r="L135" s="143"/>
      <c r="M135" s="143"/>
      <c r="N135" s="144"/>
      <c r="O135" s="3"/>
    </row>
    <row r="136" spans="1:64" ht="12.75">
      <c r="A136" s="2" t="s">
        <v>36</v>
      </c>
      <c r="B136" s="9" t="s">
        <v>283</v>
      </c>
      <c r="C136" s="9" t="s">
        <v>320</v>
      </c>
      <c r="D136" s="141" t="s">
        <v>688</v>
      </c>
      <c r="E136" s="134"/>
      <c r="F136" s="134"/>
      <c r="G136" s="134"/>
      <c r="H136" s="9" t="s">
        <v>1535</v>
      </c>
      <c r="I136" s="18">
        <v>163.286</v>
      </c>
      <c r="J136" s="18">
        <v>0</v>
      </c>
      <c r="K136" s="18">
        <f>I136*AO136</f>
        <v>0</v>
      </c>
      <c r="L136" s="18">
        <f>I136*AP136</f>
        <v>0</v>
      </c>
      <c r="M136" s="18">
        <f>I136*J136</f>
        <v>0</v>
      </c>
      <c r="N136" s="23" t="s">
        <v>1557</v>
      </c>
      <c r="O136" s="3"/>
      <c r="Z136" s="28">
        <f>IF(AQ136="5",BJ136,0)</f>
        <v>0</v>
      </c>
      <c r="AB136" s="28">
        <f>IF(AQ136="1",BH136,0)</f>
        <v>0</v>
      </c>
      <c r="AC136" s="28">
        <f>IF(AQ136="1",BI136,0)</f>
        <v>0</v>
      </c>
      <c r="AD136" s="28">
        <f>IF(AQ136="7",BH136,0)</f>
        <v>0</v>
      </c>
      <c r="AE136" s="28">
        <f>IF(AQ136="7",BI136,0)</f>
        <v>0</v>
      </c>
      <c r="AF136" s="28">
        <f>IF(AQ136="2",BH136,0)</f>
        <v>0</v>
      </c>
      <c r="AG136" s="28">
        <f>IF(AQ136="2",BI136,0)</f>
        <v>0</v>
      </c>
      <c r="AH136" s="28">
        <f>IF(AQ136="0",BJ136,0)</f>
        <v>0</v>
      </c>
      <c r="AI136" s="27" t="s">
        <v>283</v>
      </c>
      <c r="AJ136" s="18">
        <f>IF(AN136=0,M136,0)</f>
        <v>0</v>
      </c>
      <c r="AK136" s="18">
        <f>IF(AN136=15,M136,0)</f>
        <v>0</v>
      </c>
      <c r="AL136" s="18">
        <f>IF(AN136=21,M136,0)</f>
        <v>0</v>
      </c>
      <c r="AN136" s="28">
        <v>15</v>
      </c>
      <c r="AO136" s="28">
        <f>J136*0.297197885519945</f>
        <v>0</v>
      </c>
      <c r="AP136" s="28">
        <f>J136*(1-0.297197885519945)</f>
        <v>0</v>
      </c>
      <c r="AQ136" s="29" t="s">
        <v>7</v>
      </c>
      <c r="AV136" s="28">
        <f>AW136+AX136</f>
        <v>0</v>
      </c>
      <c r="AW136" s="28">
        <f>I136*AO136</f>
        <v>0</v>
      </c>
      <c r="AX136" s="28">
        <f>I136*AP136</f>
        <v>0</v>
      </c>
      <c r="AY136" s="31" t="s">
        <v>1581</v>
      </c>
      <c r="AZ136" s="31" t="s">
        <v>1618</v>
      </c>
      <c r="BA136" s="27" t="s">
        <v>1628</v>
      </c>
      <c r="BC136" s="28">
        <f>AW136+AX136</f>
        <v>0</v>
      </c>
      <c r="BD136" s="28">
        <f>J136/(100-BE136)*100</f>
        <v>0</v>
      </c>
      <c r="BE136" s="28">
        <v>0</v>
      </c>
      <c r="BF136" s="28">
        <f>136</f>
        <v>136</v>
      </c>
      <c r="BH136" s="18">
        <f>I136*AO136</f>
        <v>0</v>
      </c>
      <c r="BI136" s="18">
        <f>I136*AP136</f>
        <v>0</v>
      </c>
      <c r="BJ136" s="18">
        <f>I136*J136</f>
        <v>0</v>
      </c>
      <c r="BK136" s="18" t="s">
        <v>1634</v>
      </c>
      <c r="BL136" s="28">
        <v>61</v>
      </c>
    </row>
    <row r="137" spans="1:15" ht="12.75">
      <c r="A137" s="3"/>
      <c r="D137" s="14" t="s">
        <v>689</v>
      </c>
      <c r="G137" s="16"/>
      <c r="I137" s="19">
        <v>163.286</v>
      </c>
      <c r="N137" s="24"/>
      <c r="O137" s="3"/>
    </row>
    <row r="138" spans="1:47" ht="12.75">
      <c r="A138" s="72"/>
      <c r="B138" s="73" t="s">
        <v>283</v>
      </c>
      <c r="C138" s="73" t="s">
        <v>68</v>
      </c>
      <c r="D138" s="130" t="s">
        <v>690</v>
      </c>
      <c r="E138" s="131"/>
      <c r="F138" s="131"/>
      <c r="G138" s="132"/>
      <c r="H138" s="72" t="s">
        <v>6</v>
      </c>
      <c r="I138" s="72" t="s">
        <v>6</v>
      </c>
      <c r="J138" s="72" t="s">
        <v>6</v>
      </c>
      <c r="K138" s="76">
        <f>SUM(K139:K274)</f>
        <v>0</v>
      </c>
      <c r="L138" s="76">
        <f>SUM(L139:L274)</f>
        <v>0</v>
      </c>
      <c r="M138" s="76">
        <f>SUM(M139:M274)</f>
        <v>0</v>
      </c>
      <c r="N138" s="71"/>
      <c r="O138" s="67"/>
      <c r="AI138" s="27" t="s">
        <v>283</v>
      </c>
      <c r="AS138" s="33">
        <f>SUM(AJ139:AJ274)</f>
        <v>0</v>
      </c>
      <c r="AT138" s="33">
        <f>SUM(AK139:AK274)</f>
        <v>0</v>
      </c>
      <c r="AU138" s="33">
        <f>SUM(AL139:AL274)</f>
        <v>0</v>
      </c>
    </row>
    <row r="139" spans="1:64" ht="12.75">
      <c r="A139" s="74" t="s">
        <v>37</v>
      </c>
      <c r="B139" s="74" t="s">
        <v>283</v>
      </c>
      <c r="C139" s="74" t="s">
        <v>321</v>
      </c>
      <c r="D139" s="133" t="s">
        <v>691</v>
      </c>
      <c r="E139" s="134"/>
      <c r="F139" s="134"/>
      <c r="G139" s="135"/>
      <c r="H139" s="74" t="s">
        <v>1535</v>
      </c>
      <c r="I139" s="75">
        <v>132.44</v>
      </c>
      <c r="J139" s="75">
        <v>0</v>
      </c>
      <c r="K139" s="75">
        <f>I139*AO139</f>
        <v>0</v>
      </c>
      <c r="L139" s="75">
        <f>I139*AP139</f>
        <v>0</v>
      </c>
      <c r="M139" s="75">
        <f>I139*J139</f>
        <v>0</v>
      </c>
      <c r="N139" s="78" t="s">
        <v>1555</v>
      </c>
      <c r="O139" s="67"/>
      <c r="Z139" s="28">
        <f>IF(AQ139="5",BJ139,0)</f>
        <v>0</v>
      </c>
      <c r="AB139" s="28">
        <f>IF(AQ139="1",BH139,0)</f>
        <v>0</v>
      </c>
      <c r="AC139" s="28">
        <f>IF(AQ139="1",BI139,0)</f>
        <v>0</v>
      </c>
      <c r="AD139" s="28">
        <f>IF(AQ139="7",BH139,0)</f>
        <v>0</v>
      </c>
      <c r="AE139" s="28">
        <f>IF(AQ139="7",BI139,0)</f>
        <v>0</v>
      </c>
      <c r="AF139" s="28">
        <f>IF(AQ139="2",BH139,0)</f>
        <v>0</v>
      </c>
      <c r="AG139" s="28">
        <f>IF(AQ139="2",BI139,0)</f>
        <v>0</v>
      </c>
      <c r="AH139" s="28">
        <f>IF(AQ139="0",BJ139,0)</f>
        <v>0</v>
      </c>
      <c r="AI139" s="27" t="s">
        <v>283</v>
      </c>
      <c r="AJ139" s="18">
        <f>IF(AN139=0,M139,0)</f>
        <v>0</v>
      </c>
      <c r="AK139" s="18">
        <f>IF(AN139=15,M139,0)</f>
        <v>0</v>
      </c>
      <c r="AL139" s="18">
        <f>IF(AN139=21,M139,0)</f>
        <v>0</v>
      </c>
      <c r="AN139" s="28">
        <v>15</v>
      </c>
      <c r="AO139" s="28">
        <f>J139*1.00000017171583</f>
        <v>0</v>
      </c>
      <c r="AP139" s="28">
        <f>J139*(1-1.00000017171583)</f>
        <v>0</v>
      </c>
      <c r="AQ139" s="29" t="s">
        <v>7</v>
      </c>
      <c r="AV139" s="28">
        <f>AW139+AX139</f>
        <v>0</v>
      </c>
      <c r="AW139" s="28">
        <f>I139*AO139</f>
        <v>0</v>
      </c>
      <c r="AX139" s="28">
        <f>I139*AP139</f>
        <v>0</v>
      </c>
      <c r="AY139" s="31" t="s">
        <v>1582</v>
      </c>
      <c r="AZ139" s="31" t="s">
        <v>1618</v>
      </c>
      <c r="BA139" s="27" t="s">
        <v>1628</v>
      </c>
      <c r="BC139" s="28">
        <f>AW139+AX139</f>
        <v>0</v>
      </c>
      <c r="BD139" s="28">
        <f>J139/(100-BE139)*100</f>
        <v>0</v>
      </c>
      <c r="BE139" s="28">
        <v>0</v>
      </c>
      <c r="BF139" s="28">
        <f>139</f>
        <v>139</v>
      </c>
      <c r="BH139" s="18">
        <f>I139*AO139</f>
        <v>0</v>
      </c>
      <c r="BI139" s="18">
        <f>I139*AP139</f>
        <v>0</v>
      </c>
      <c r="BJ139" s="18">
        <f>I139*J139</f>
        <v>0</v>
      </c>
      <c r="BK139" s="18" t="s">
        <v>1634</v>
      </c>
      <c r="BL139" s="28">
        <v>62</v>
      </c>
    </row>
    <row r="140" spans="1:15" ht="12.75">
      <c r="A140" s="3"/>
      <c r="D140" s="136" t="s">
        <v>692</v>
      </c>
      <c r="E140" s="137"/>
      <c r="F140" s="137"/>
      <c r="G140" s="137"/>
      <c r="H140" s="137"/>
      <c r="I140" s="137"/>
      <c r="J140" s="137"/>
      <c r="K140" s="137"/>
      <c r="L140" s="137"/>
      <c r="M140" s="137"/>
      <c r="N140" s="138"/>
      <c r="O140" s="3"/>
    </row>
    <row r="141" spans="1:15" ht="12.75">
      <c r="A141" s="82"/>
      <c r="B141" s="83"/>
      <c r="C141" s="83"/>
      <c r="D141" s="85" t="s">
        <v>693</v>
      </c>
      <c r="G141" s="86" t="s">
        <v>1360</v>
      </c>
      <c r="H141" s="83"/>
      <c r="I141" s="88">
        <v>132.44</v>
      </c>
      <c r="J141" s="83"/>
      <c r="K141" s="83"/>
      <c r="L141" s="83"/>
      <c r="M141" s="83"/>
      <c r="N141" s="80"/>
      <c r="O141" s="67"/>
    </row>
    <row r="142" spans="1:15" ht="12.75">
      <c r="A142" s="3"/>
      <c r="C142" s="12" t="s">
        <v>296</v>
      </c>
      <c r="D142" s="142" t="s">
        <v>622</v>
      </c>
      <c r="E142" s="143"/>
      <c r="F142" s="143"/>
      <c r="G142" s="143"/>
      <c r="H142" s="143"/>
      <c r="I142" s="143"/>
      <c r="J142" s="143"/>
      <c r="K142" s="143"/>
      <c r="L142" s="143"/>
      <c r="M142" s="143"/>
      <c r="N142" s="144"/>
      <c r="O142" s="3"/>
    </row>
    <row r="143" spans="1:64" ht="12.75">
      <c r="A143" s="81" t="s">
        <v>38</v>
      </c>
      <c r="B143" s="81" t="s">
        <v>283</v>
      </c>
      <c r="C143" s="81" t="s">
        <v>322</v>
      </c>
      <c r="D143" s="139" t="s">
        <v>694</v>
      </c>
      <c r="E143" s="134"/>
      <c r="F143" s="134"/>
      <c r="G143" s="140"/>
      <c r="H143" s="81" t="s">
        <v>1535</v>
      </c>
      <c r="I143" s="87">
        <v>616.17855</v>
      </c>
      <c r="J143" s="87">
        <v>0</v>
      </c>
      <c r="K143" s="87">
        <f>I143*AO143</f>
        <v>0</v>
      </c>
      <c r="L143" s="87">
        <f>I143*AP143</f>
        <v>0</v>
      </c>
      <c r="M143" s="87">
        <f>I143*J143</f>
        <v>0</v>
      </c>
      <c r="N143" s="77" t="s">
        <v>1556</v>
      </c>
      <c r="O143" s="67"/>
      <c r="Z143" s="28">
        <f>IF(AQ143="5",BJ143,0)</f>
        <v>0</v>
      </c>
      <c r="AB143" s="28">
        <f>IF(AQ143="1",BH143,0)</f>
        <v>0</v>
      </c>
      <c r="AC143" s="28">
        <f>IF(AQ143="1",BI143,0)</f>
        <v>0</v>
      </c>
      <c r="AD143" s="28">
        <f>IF(AQ143="7",BH143,0)</f>
        <v>0</v>
      </c>
      <c r="AE143" s="28">
        <f>IF(AQ143="7",BI143,0)</f>
        <v>0</v>
      </c>
      <c r="AF143" s="28">
        <f>IF(AQ143="2",BH143,0)</f>
        <v>0</v>
      </c>
      <c r="AG143" s="28">
        <f>IF(AQ143="2",BI143,0)</f>
        <v>0</v>
      </c>
      <c r="AH143" s="28">
        <f>IF(AQ143="0",BJ143,0)</f>
        <v>0</v>
      </c>
      <c r="AI143" s="27" t="s">
        <v>283</v>
      </c>
      <c r="AJ143" s="18">
        <f>IF(AN143=0,M143,0)</f>
        <v>0</v>
      </c>
      <c r="AK143" s="18">
        <f>IF(AN143=15,M143,0)</f>
        <v>0</v>
      </c>
      <c r="AL143" s="18">
        <f>IF(AN143=21,M143,0)</f>
        <v>0</v>
      </c>
      <c r="AN143" s="28">
        <v>15</v>
      </c>
      <c r="AO143" s="28">
        <f>J143*0.0655394489933147</f>
        <v>0</v>
      </c>
      <c r="AP143" s="28">
        <f>J143*(1-0.0655394489933147)</f>
        <v>0</v>
      </c>
      <c r="AQ143" s="29" t="s">
        <v>7</v>
      </c>
      <c r="AV143" s="28">
        <f>AW143+AX143</f>
        <v>0</v>
      </c>
      <c r="AW143" s="28">
        <f>I143*AO143</f>
        <v>0</v>
      </c>
      <c r="AX143" s="28">
        <f>I143*AP143</f>
        <v>0</v>
      </c>
      <c r="AY143" s="31" t="s">
        <v>1582</v>
      </c>
      <c r="AZ143" s="31" t="s">
        <v>1618</v>
      </c>
      <c r="BA143" s="27" t="s">
        <v>1628</v>
      </c>
      <c r="BC143" s="28">
        <f>AW143+AX143</f>
        <v>0</v>
      </c>
      <c r="BD143" s="28">
        <f>J143/(100-BE143)*100</f>
        <v>0</v>
      </c>
      <c r="BE143" s="28">
        <v>0</v>
      </c>
      <c r="BF143" s="28">
        <f>143</f>
        <v>143</v>
      </c>
      <c r="BH143" s="18">
        <f>I143*AO143</f>
        <v>0</v>
      </c>
      <c r="BI143" s="18">
        <f>I143*AP143</f>
        <v>0</v>
      </c>
      <c r="BJ143" s="18">
        <f>I143*J143</f>
        <v>0</v>
      </c>
      <c r="BK143" s="18" t="s">
        <v>1634</v>
      </c>
      <c r="BL143" s="28">
        <v>62</v>
      </c>
    </row>
    <row r="144" spans="1:15" ht="12.75">
      <c r="A144" s="89"/>
      <c r="B144" s="90"/>
      <c r="C144" s="90"/>
      <c r="D144" s="84" t="s">
        <v>695</v>
      </c>
      <c r="G144" s="91" t="s">
        <v>1361</v>
      </c>
      <c r="H144" s="90"/>
      <c r="I144" s="92">
        <v>527.239</v>
      </c>
      <c r="J144" s="90"/>
      <c r="K144" s="90"/>
      <c r="L144" s="90"/>
      <c r="M144" s="90"/>
      <c r="N144" s="79"/>
      <c r="O144" s="67"/>
    </row>
    <row r="145" spans="1:15" ht="12.75">
      <c r="A145" s="89"/>
      <c r="B145" s="90"/>
      <c r="C145" s="90"/>
      <c r="D145" s="84" t="s">
        <v>696</v>
      </c>
      <c r="G145" s="91" t="s">
        <v>1362</v>
      </c>
      <c r="H145" s="90"/>
      <c r="I145" s="92">
        <v>36.4775</v>
      </c>
      <c r="J145" s="90"/>
      <c r="K145" s="90"/>
      <c r="L145" s="90"/>
      <c r="M145" s="90"/>
      <c r="N145" s="79"/>
      <c r="O145" s="67"/>
    </row>
    <row r="146" spans="1:15" ht="12.75">
      <c r="A146" s="89"/>
      <c r="B146" s="90"/>
      <c r="C146" s="90"/>
      <c r="D146" s="84" t="s">
        <v>697</v>
      </c>
      <c r="G146" s="91" t="s">
        <v>1363</v>
      </c>
      <c r="H146" s="90"/>
      <c r="I146" s="92">
        <v>7.865</v>
      </c>
      <c r="J146" s="90"/>
      <c r="K146" s="90"/>
      <c r="L146" s="90"/>
      <c r="M146" s="90"/>
      <c r="N146" s="79"/>
      <c r="O146" s="67"/>
    </row>
    <row r="147" spans="1:15" ht="12.75">
      <c r="A147" s="89"/>
      <c r="B147" s="90"/>
      <c r="C147" s="90"/>
      <c r="D147" s="84" t="s">
        <v>698</v>
      </c>
      <c r="G147" s="91" t="s">
        <v>1364</v>
      </c>
      <c r="H147" s="90"/>
      <c r="I147" s="92">
        <v>1.65</v>
      </c>
      <c r="J147" s="90"/>
      <c r="K147" s="90"/>
      <c r="L147" s="90"/>
      <c r="M147" s="90"/>
      <c r="N147" s="79"/>
      <c r="O147" s="67"/>
    </row>
    <row r="148" spans="1:15" ht="12.75">
      <c r="A148" s="89"/>
      <c r="B148" s="90"/>
      <c r="C148" s="90"/>
      <c r="D148" s="84" t="s">
        <v>699</v>
      </c>
      <c r="G148" s="91" t="s">
        <v>1365</v>
      </c>
      <c r="H148" s="90"/>
      <c r="I148" s="92">
        <v>33.14705</v>
      </c>
      <c r="J148" s="90"/>
      <c r="K148" s="90"/>
      <c r="L148" s="90"/>
      <c r="M148" s="90"/>
      <c r="N148" s="79"/>
      <c r="O148" s="67"/>
    </row>
    <row r="149" spans="1:15" ht="12.75">
      <c r="A149" s="82"/>
      <c r="B149" s="83"/>
      <c r="C149" s="83"/>
      <c r="D149" s="85" t="s">
        <v>700</v>
      </c>
      <c r="G149" s="86" t="s">
        <v>1366</v>
      </c>
      <c r="H149" s="83"/>
      <c r="I149" s="88">
        <v>9.8</v>
      </c>
      <c r="J149" s="83"/>
      <c r="K149" s="83"/>
      <c r="L149" s="83"/>
      <c r="M149" s="83"/>
      <c r="N149" s="80"/>
      <c r="O149" s="67"/>
    </row>
    <row r="150" spans="1:15" ht="12.75">
      <c r="A150" s="3"/>
      <c r="C150" s="12" t="s">
        <v>296</v>
      </c>
      <c r="D150" s="142" t="s">
        <v>622</v>
      </c>
      <c r="E150" s="143"/>
      <c r="F150" s="143"/>
      <c r="G150" s="143"/>
      <c r="H150" s="143"/>
      <c r="I150" s="143"/>
      <c r="J150" s="143"/>
      <c r="K150" s="143"/>
      <c r="L150" s="143"/>
      <c r="M150" s="143"/>
      <c r="N150" s="144"/>
      <c r="O150" s="3"/>
    </row>
    <row r="151" spans="1:64" ht="12.75">
      <c r="A151" s="81" t="s">
        <v>39</v>
      </c>
      <c r="B151" s="81" t="s">
        <v>283</v>
      </c>
      <c r="C151" s="81" t="s">
        <v>323</v>
      </c>
      <c r="D151" s="139" t="s">
        <v>701</v>
      </c>
      <c r="E151" s="134"/>
      <c r="F151" s="134"/>
      <c r="G151" s="140"/>
      <c r="H151" s="81" t="s">
        <v>1535</v>
      </c>
      <c r="I151" s="87">
        <v>137</v>
      </c>
      <c r="J151" s="87">
        <v>0</v>
      </c>
      <c r="K151" s="87">
        <f>I151*AO151</f>
        <v>0</v>
      </c>
      <c r="L151" s="87">
        <f>I151*AP151</f>
        <v>0</v>
      </c>
      <c r="M151" s="87">
        <f>I151*J151</f>
        <v>0</v>
      </c>
      <c r="N151" s="77" t="s">
        <v>1556</v>
      </c>
      <c r="O151" s="67"/>
      <c r="Z151" s="28">
        <f>IF(AQ151="5",BJ151,0)</f>
        <v>0</v>
      </c>
      <c r="AB151" s="28">
        <f>IF(AQ151="1",BH151,0)</f>
        <v>0</v>
      </c>
      <c r="AC151" s="28">
        <f>IF(AQ151="1",BI151,0)</f>
        <v>0</v>
      </c>
      <c r="AD151" s="28">
        <f>IF(AQ151="7",BH151,0)</f>
        <v>0</v>
      </c>
      <c r="AE151" s="28">
        <f>IF(AQ151="7",BI151,0)</f>
        <v>0</v>
      </c>
      <c r="AF151" s="28">
        <f>IF(AQ151="2",BH151,0)</f>
        <v>0</v>
      </c>
      <c r="AG151" s="28">
        <f>IF(AQ151="2",BI151,0)</f>
        <v>0</v>
      </c>
      <c r="AH151" s="28">
        <f>IF(AQ151="0",BJ151,0)</f>
        <v>0</v>
      </c>
      <c r="AI151" s="27" t="s">
        <v>283</v>
      </c>
      <c r="AJ151" s="18">
        <f>IF(AN151=0,M151,0)</f>
        <v>0</v>
      </c>
      <c r="AK151" s="18">
        <f>IF(AN151=15,M151,0)</f>
        <v>0</v>
      </c>
      <c r="AL151" s="18">
        <f>IF(AN151=21,M151,0)</f>
        <v>0</v>
      </c>
      <c r="AN151" s="28">
        <v>15</v>
      </c>
      <c r="AO151" s="28">
        <f>J151*0.28565815324165</f>
        <v>0</v>
      </c>
      <c r="AP151" s="28">
        <f>J151*(1-0.28565815324165)</f>
        <v>0</v>
      </c>
      <c r="AQ151" s="29" t="s">
        <v>7</v>
      </c>
      <c r="AV151" s="28">
        <f>AW151+AX151</f>
        <v>0</v>
      </c>
      <c r="AW151" s="28">
        <f>I151*AO151</f>
        <v>0</v>
      </c>
      <c r="AX151" s="28">
        <f>I151*AP151</f>
        <v>0</v>
      </c>
      <c r="AY151" s="31" t="s">
        <v>1582</v>
      </c>
      <c r="AZ151" s="31" t="s">
        <v>1618</v>
      </c>
      <c r="BA151" s="27" t="s">
        <v>1628</v>
      </c>
      <c r="BC151" s="28">
        <f>AW151+AX151</f>
        <v>0</v>
      </c>
      <c r="BD151" s="28">
        <f>J151/(100-BE151)*100</f>
        <v>0</v>
      </c>
      <c r="BE151" s="28">
        <v>0</v>
      </c>
      <c r="BF151" s="28">
        <f>151</f>
        <v>151</v>
      </c>
      <c r="BH151" s="18">
        <f>I151*AO151</f>
        <v>0</v>
      </c>
      <c r="BI151" s="18">
        <f>I151*AP151</f>
        <v>0</v>
      </c>
      <c r="BJ151" s="18">
        <f>I151*J151</f>
        <v>0</v>
      </c>
      <c r="BK151" s="18" t="s">
        <v>1634</v>
      </c>
      <c r="BL151" s="28">
        <v>62</v>
      </c>
    </row>
    <row r="152" spans="1:15" ht="12.75">
      <c r="A152" s="82"/>
      <c r="B152" s="83"/>
      <c r="C152" s="83"/>
      <c r="D152" s="85" t="s">
        <v>143</v>
      </c>
      <c r="G152" s="86"/>
      <c r="H152" s="83"/>
      <c r="I152" s="88">
        <v>137</v>
      </c>
      <c r="J152" s="83"/>
      <c r="K152" s="83"/>
      <c r="L152" s="83"/>
      <c r="M152" s="83"/>
      <c r="N152" s="80"/>
      <c r="O152" s="67"/>
    </row>
    <row r="153" spans="1:15" ht="12.75">
      <c r="A153" s="3"/>
      <c r="C153" s="12" t="s">
        <v>296</v>
      </c>
      <c r="D153" s="142" t="s">
        <v>622</v>
      </c>
      <c r="E153" s="143"/>
      <c r="F153" s="143"/>
      <c r="G153" s="143"/>
      <c r="H153" s="143"/>
      <c r="I153" s="143"/>
      <c r="J153" s="143"/>
      <c r="K153" s="143"/>
      <c r="L153" s="143"/>
      <c r="M153" s="143"/>
      <c r="N153" s="144"/>
      <c r="O153" s="3"/>
    </row>
    <row r="154" spans="1:64" ht="12.75">
      <c r="A154" s="74" t="s">
        <v>40</v>
      </c>
      <c r="B154" s="74" t="s">
        <v>283</v>
      </c>
      <c r="C154" s="74" t="s">
        <v>324</v>
      </c>
      <c r="D154" s="133" t="s">
        <v>702</v>
      </c>
      <c r="E154" s="134"/>
      <c r="F154" s="134"/>
      <c r="G154" s="135"/>
      <c r="H154" s="74" t="s">
        <v>1535</v>
      </c>
      <c r="I154" s="75">
        <v>6.16179</v>
      </c>
      <c r="J154" s="75">
        <v>0</v>
      </c>
      <c r="K154" s="75">
        <f>I154*AO154</f>
        <v>0</v>
      </c>
      <c r="L154" s="75">
        <f>I154*AP154</f>
        <v>0</v>
      </c>
      <c r="M154" s="75">
        <f>I154*J154</f>
        <v>0</v>
      </c>
      <c r="N154" s="78" t="s">
        <v>1556</v>
      </c>
      <c r="O154" s="67"/>
      <c r="Z154" s="28">
        <f>IF(AQ154="5",BJ154,0)</f>
        <v>0</v>
      </c>
      <c r="AB154" s="28">
        <f>IF(AQ154="1",BH154,0)</f>
        <v>0</v>
      </c>
      <c r="AC154" s="28">
        <f>IF(AQ154="1",BI154,0)</f>
        <v>0</v>
      </c>
      <c r="AD154" s="28">
        <f>IF(AQ154="7",BH154,0)</f>
        <v>0</v>
      </c>
      <c r="AE154" s="28">
        <f>IF(AQ154="7",BI154,0)</f>
        <v>0</v>
      </c>
      <c r="AF154" s="28">
        <f>IF(AQ154="2",BH154,0)</f>
        <v>0</v>
      </c>
      <c r="AG154" s="28">
        <f>IF(AQ154="2",BI154,0)</f>
        <v>0</v>
      </c>
      <c r="AH154" s="28">
        <f>IF(AQ154="0",BJ154,0)</f>
        <v>0</v>
      </c>
      <c r="AI154" s="27" t="s">
        <v>283</v>
      </c>
      <c r="AJ154" s="18">
        <f>IF(AN154=0,M154,0)</f>
        <v>0</v>
      </c>
      <c r="AK154" s="18">
        <f>IF(AN154=15,M154,0)</f>
        <v>0</v>
      </c>
      <c r="AL154" s="18">
        <f>IF(AN154=21,M154,0)</f>
        <v>0</v>
      </c>
      <c r="AN154" s="28">
        <v>15</v>
      </c>
      <c r="AO154" s="28">
        <f>J154*0.818345161848716</f>
        <v>0</v>
      </c>
      <c r="AP154" s="28">
        <f>J154*(1-0.818345161848716)</f>
        <v>0</v>
      </c>
      <c r="AQ154" s="29" t="s">
        <v>7</v>
      </c>
      <c r="AV154" s="28">
        <f>AW154+AX154</f>
        <v>0</v>
      </c>
      <c r="AW154" s="28">
        <f>I154*AO154</f>
        <v>0</v>
      </c>
      <c r="AX154" s="28">
        <f>I154*AP154</f>
        <v>0</v>
      </c>
      <c r="AY154" s="31" t="s">
        <v>1582</v>
      </c>
      <c r="AZ154" s="31" t="s">
        <v>1618</v>
      </c>
      <c r="BA154" s="27" t="s">
        <v>1628</v>
      </c>
      <c r="BC154" s="28">
        <f>AW154+AX154</f>
        <v>0</v>
      </c>
      <c r="BD154" s="28">
        <f>J154/(100-BE154)*100</f>
        <v>0</v>
      </c>
      <c r="BE154" s="28">
        <v>0</v>
      </c>
      <c r="BF154" s="28">
        <f>154</f>
        <v>154</v>
      </c>
      <c r="BH154" s="18">
        <f>I154*AO154</f>
        <v>0</v>
      </c>
      <c r="BI154" s="18">
        <f>I154*AP154</f>
        <v>0</v>
      </c>
      <c r="BJ154" s="18">
        <f>I154*J154</f>
        <v>0</v>
      </c>
      <c r="BK154" s="18" t="s">
        <v>1634</v>
      </c>
      <c r="BL154" s="28">
        <v>62</v>
      </c>
    </row>
    <row r="155" spans="1:15" ht="38.25" customHeight="1">
      <c r="A155" s="3"/>
      <c r="D155" s="136" t="s">
        <v>703</v>
      </c>
      <c r="E155" s="137"/>
      <c r="F155" s="137"/>
      <c r="G155" s="137"/>
      <c r="H155" s="137"/>
      <c r="I155" s="137"/>
      <c r="J155" s="137"/>
      <c r="K155" s="137"/>
      <c r="L155" s="137"/>
      <c r="M155" s="137"/>
      <c r="N155" s="138"/>
      <c r="O155" s="3"/>
    </row>
    <row r="156" spans="1:15" ht="12.75">
      <c r="A156" s="82"/>
      <c r="B156" s="83"/>
      <c r="C156" s="83"/>
      <c r="D156" s="85" t="s">
        <v>704</v>
      </c>
      <c r="G156" s="86" t="s">
        <v>1367</v>
      </c>
      <c r="H156" s="83"/>
      <c r="I156" s="88">
        <v>6.16179</v>
      </c>
      <c r="J156" s="83"/>
      <c r="K156" s="83"/>
      <c r="L156" s="83"/>
      <c r="M156" s="83"/>
      <c r="N156" s="80"/>
      <c r="O156" s="67"/>
    </row>
    <row r="157" spans="1:15" ht="12.75">
      <c r="A157" s="3"/>
      <c r="C157" s="12" t="s">
        <v>296</v>
      </c>
      <c r="D157" s="142" t="s">
        <v>622</v>
      </c>
      <c r="E157" s="143"/>
      <c r="F157" s="143"/>
      <c r="G157" s="143"/>
      <c r="H157" s="143"/>
      <c r="I157" s="143"/>
      <c r="J157" s="143"/>
      <c r="K157" s="143"/>
      <c r="L157" s="143"/>
      <c r="M157" s="143"/>
      <c r="N157" s="144"/>
      <c r="O157" s="3"/>
    </row>
    <row r="158" spans="1:64" ht="12.75">
      <c r="A158" s="74" t="s">
        <v>41</v>
      </c>
      <c r="B158" s="74" t="s">
        <v>283</v>
      </c>
      <c r="C158" s="74" t="s">
        <v>325</v>
      </c>
      <c r="D158" s="133" t="s">
        <v>705</v>
      </c>
      <c r="E158" s="134"/>
      <c r="F158" s="134"/>
      <c r="G158" s="135"/>
      <c r="H158" s="74" t="s">
        <v>1535</v>
      </c>
      <c r="I158" s="75">
        <v>184.85357</v>
      </c>
      <c r="J158" s="75">
        <v>0</v>
      </c>
      <c r="K158" s="75">
        <f>I158*AO158</f>
        <v>0</v>
      </c>
      <c r="L158" s="75">
        <f>I158*AP158</f>
        <v>0</v>
      </c>
      <c r="M158" s="75">
        <f>I158*J158</f>
        <v>0</v>
      </c>
      <c r="N158" s="78" t="s">
        <v>1556</v>
      </c>
      <c r="O158" s="67"/>
      <c r="Z158" s="28">
        <f>IF(AQ158="5",BJ158,0)</f>
        <v>0</v>
      </c>
      <c r="AB158" s="28">
        <f>IF(AQ158="1",BH158,0)</f>
        <v>0</v>
      </c>
      <c r="AC158" s="28">
        <f>IF(AQ158="1",BI158,0)</f>
        <v>0</v>
      </c>
      <c r="AD158" s="28">
        <f>IF(AQ158="7",BH158,0)</f>
        <v>0</v>
      </c>
      <c r="AE158" s="28">
        <f>IF(AQ158="7",BI158,0)</f>
        <v>0</v>
      </c>
      <c r="AF158" s="28">
        <f>IF(AQ158="2",BH158,0)</f>
        <v>0</v>
      </c>
      <c r="AG158" s="28">
        <f>IF(AQ158="2",BI158,0)</f>
        <v>0</v>
      </c>
      <c r="AH158" s="28">
        <f>IF(AQ158="0",BJ158,0)</f>
        <v>0</v>
      </c>
      <c r="AI158" s="27" t="s">
        <v>283</v>
      </c>
      <c r="AJ158" s="18">
        <f>IF(AN158=0,M158,0)</f>
        <v>0</v>
      </c>
      <c r="AK158" s="18">
        <f>IF(AN158=15,M158,0)</f>
        <v>0</v>
      </c>
      <c r="AL158" s="18">
        <f>IF(AN158=21,M158,0)</f>
        <v>0</v>
      </c>
      <c r="AN158" s="28">
        <v>15</v>
      </c>
      <c r="AO158" s="28">
        <f>J158*0.154662900008327</f>
        <v>0</v>
      </c>
      <c r="AP158" s="28">
        <f>J158*(1-0.154662900008327)</f>
        <v>0</v>
      </c>
      <c r="AQ158" s="29" t="s">
        <v>7</v>
      </c>
      <c r="AV158" s="28">
        <f>AW158+AX158</f>
        <v>0</v>
      </c>
      <c r="AW158" s="28">
        <f>I158*AO158</f>
        <v>0</v>
      </c>
      <c r="AX158" s="28">
        <f>I158*AP158</f>
        <v>0</v>
      </c>
      <c r="AY158" s="31" t="s">
        <v>1582</v>
      </c>
      <c r="AZ158" s="31" t="s">
        <v>1618</v>
      </c>
      <c r="BA158" s="27" t="s">
        <v>1628</v>
      </c>
      <c r="BC158" s="28">
        <f>AW158+AX158</f>
        <v>0</v>
      </c>
      <c r="BD158" s="28">
        <f>J158/(100-BE158)*100</f>
        <v>0</v>
      </c>
      <c r="BE158" s="28">
        <v>0</v>
      </c>
      <c r="BF158" s="28">
        <f>158</f>
        <v>158</v>
      </c>
      <c r="BH158" s="18">
        <f>I158*AO158</f>
        <v>0</v>
      </c>
      <c r="BI158" s="18">
        <f>I158*AP158</f>
        <v>0</v>
      </c>
      <c r="BJ158" s="18">
        <f>I158*J158</f>
        <v>0</v>
      </c>
      <c r="BK158" s="18" t="s">
        <v>1634</v>
      </c>
      <c r="BL158" s="28">
        <v>62</v>
      </c>
    </row>
    <row r="159" spans="1:15" ht="25.5" customHeight="1">
      <c r="A159" s="3"/>
      <c r="D159" s="136" t="s">
        <v>706</v>
      </c>
      <c r="E159" s="137"/>
      <c r="F159" s="137"/>
      <c r="G159" s="137"/>
      <c r="H159" s="137"/>
      <c r="I159" s="137"/>
      <c r="J159" s="137"/>
      <c r="K159" s="137"/>
      <c r="L159" s="137"/>
      <c r="M159" s="137"/>
      <c r="N159" s="138"/>
      <c r="O159" s="3"/>
    </row>
    <row r="160" spans="1:15" ht="12.75">
      <c r="A160" s="82"/>
      <c r="B160" s="83"/>
      <c r="C160" s="83"/>
      <c r="D160" s="85" t="s">
        <v>707</v>
      </c>
      <c r="G160" s="86" t="s">
        <v>1368</v>
      </c>
      <c r="H160" s="83"/>
      <c r="I160" s="88">
        <v>184.85357</v>
      </c>
      <c r="J160" s="83"/>
      <c r="K160" s="83"/>
      <c r="L160" s="83"/>
      <c r="M160" s="83"/>
      <c r="N160" s="80"/>
      <c r="O160" s="67"/>
    </row>
    <row r="161" spans="1:15" ht="12.75">
      <c r="A161" s="3"/>
      <c r="C161" s="12" t="s">
        <v>296</v>
      </c>
      <c r="D161" s="142" t="s">
        <v>622</v>
      </c>
      <c r="E161" s="143"/>
      <c r="F161" s="143"/>
      <c r="G161" s="143"/>
      <c r="H161" s="143"/>
      <c r="I161" s="143"/>
      <c r="J161" s="143"/>
      <c r="K161" s="143"/>
      <c r="L161" s="143"/>
      <c r="M161" s="143"/>
      <c r="N161" s="144"/>
      <c r="O161" s="3"/>
    </row>
    <row r="162" spans="1:64" ht="12.75">
      <c r="A162" s="94" t="s">
        <v>42</v>
      </c>
      <c r="B162" s="94" t="s">
        <v>283</v>
      </c>
      <c r="C162" s="94" t="s">
        <v>326</v>
      </c>
      <c r="D162" s="148" t="s">
        <v>708</v>
      </c>
      <c r="E162" s="149"/>
      <c r="F162" s="149"/>
      <c r="G162" s="150"/>
      <c r="H162" s="94" t="s">
        <v>1535</v>
      </c>
      <c r="I162" s="95">
        <v>190.39918</v>
      </c>
      <c r="J162" s="95">
        <v>0</v>
      </c>
      <c r="K162" s="95">
        <f>I162*AO162</f>
        <v>0</v>
      </c>
      <c r="L162" s="95">
        <f>I162*AP162</f>
        <v>0</v>
      </c>
      <c r="M162" s="95">
        <f>I162*J162</f>
        <v>0</v>
      </c>
      <c r="N162" s="93" t="s">
        <v>1556</v>
      </c>
      <c r="O162" s="67"/>
      <c r="Z162" s="28">
        <f>IF(AQ162="5",BJ162,0)</f>
        <v>0</v>
      </c>
      <c r="AB162" s="28">
        <f>IF(AQ162="1",BH162,0)</f>
        <v>0</v>
      </c>
      <c r="AC162" s="28">
        <f>IF(AQ162="1",BI162,0)</f>
        <v>0</v>
      </c>
      <c r="AD162" s="28">
        <f>IF(AQ162="7",BH162,0)</f>
        <v>0</v>
      </c>
      <c r="AE162" s="28">
        <f>IF(AQ162="7",BI162,0)</f>
        <v>0</v>
      </c>
      <c r="AF162" s="28">
        <f>IF(AQ162="2",BH162,0)</f>
        <v>0</v>
      </c>
      <c r="AG162" s="28">
        <f>IF(AQ162="2",BI162,0)</f>
        <v>0</v>
      </c>
      <c r="AH162" s="28">
        <f>IF(AQ162="0",BJ162,0)</f>
        <v>0</v>
      </c>
      <c r="AI162" s="27" t="s">
        <v>283</v>
      </c>
      <c r="AJ162" s="20">
        <f>IF(AN162=0,M162,0)</f>
        <v>0</v>
      </c>
      <c r="AK162" s="20">
        <f>IF(AN162=15,M162,0)</f>
        <v>0</v>
      </c>
      <c r="AL162" s="20">
        <f>IF(AN162=21,M162,0)</f>
        <v>0</v>
      </c>
      <c r="AN162" s="28">
        <v>15</v>
      </c>
      <c r="AO162" s="28">
        <f>J162*1</f>
        <v>0</v>
      </c>
      <c r="AP162" s="28">
        <f>J162*(1-1)</f>
        <v>0</v>
      </c>
      <c r="AQ162" s="30" t="s">
        <v>7</v>
      </c>
      <c r="AV162" s="28">
        <f>AW162+AX162</f>
        <v>0</v>
      </c>
      <c r="AW162" s="28">
        <f>I162*AO162</f>
        <v>0</v>
      </c>
      <c r="AX162" s="28">
        <f>I162*AP162</f>
        <v>0</v>
      </c>
      <c r="AY162" s="31" t="s">
        <v>1582</v>
      </c>
      <c r="AZ162" s="31" t="s">
        <v>1618</v>
      </c>
      <c r="BA162" s="27" t="s">
        <v>1628</v>
      </c>
      <c r="BC162" s="28">
        <f>AW162+AX162</f>
        <v>0</v>
      </c>
      <c r="BD162" s="28">
        <f>J162/(100-BE162)*100</f>
        <v>0</v>
      </c>
      <c r="BE162" s="28">
        <v>0</v>
      </c>
      <c r="BF162" s="28">
        <f>162</f>
        <v>162</v>
      </c>
      <c r="BH162" s="20">
        <f>I162*AO162</f>
        <v>0</v>
      </c>
      <c r="BI162" s="20">
        <f>I162*AP162</f>
        <v>0</v>
      </c>
      <c r="BJ162" s="20">
        <f>I162*J162</f>
        <v>0</v>
      </c>
      <c r="BK162" s="20" t="s">
        <v>1635</v>
      </c>
      <c r="BL162" s="28">
        <v>62</v>
      </c>
    </row>
    <row r="163" spans="1:15" ht="12.75">
      <c r="A163" s="89"/>
      <c r="B163" s="90"/>
      <c r="C163" s="90"/>
      <c r="D163" s="84" t="s">
        <v>707</v>
      </c>
      <c r="G163" s="91"/>
      <c r="H163" s="90"/>
      <c r="I163" s="92">
        <v>184.85357</v>
      </c>
      <c r="J163" s="90"/>
      <c r="K163" s="90"/>
      <c r="L163" s="90"/>
      <c r="M163" s="90"/>
      <c r="N163" s="79"/>
      <c r="O163" s="67"/>
    </row>
    <row r="164" spans="1:15" ht="12.75">
      <c r="A164" s="82"/>
      <c r="B164" s="83"/>
      <c r="C164" s="83"/>
      <c r="D164" s="85" t="s">
        <v>709</v>
      </c>
      <c r="G164" s="86"/>
      <c r="H164" s="83"/>
      <c r="I164" s="88">
        <v>5.54561</v>
      </c>
      <c r="J164" s="83"/>
      <c r="K164" s="83"/>
      <c r="L164" s="83"/>
      <c r="M164" s="83"/>
      <c r="N164" s="80"/>
      <c r="O164" s="67"/>
    </row>
    <row r="165" spans="1:15" ht="12.75">
      <c r="A165" s="3"/>
      <c r="C165" s="12" t="s">
        <v>296</v>
      </c>
      <c r="D165" s="142" t="s">
        <v>622</v>
      </c>
      <c r="E165" s="143"/>
      <c r="F165" s="143"/>
      <c r="G165" s="143"/>
      <c r="H165" s="143"/>
      <c r="I165" s="143"/>
      <c r="J165" s="143"/>
      <c r="K165" s="143"/>
      <c r="L165" s="143"/>
      <c r="M165" s="143"/>
      <c r="N165" s="144"/>
      <c r="O165" s="3"/>
    </row>
    <row r="166" spans="1:64" ht="12.75">
      <c r="A166" s="81" t="s">
        <v>43</v>
      </c>
      <c r="B166" s="81" t="s">
        <v>283</v>
      </c>
      <c r="C166" s="81" t="s">
        <v>327</v>
      </c>
      <c r="D166" s="139" t="s">
        <v>710</v>
      </c>
      <c r="E166" s="134"/>
      <c r="F166" s="134"/>
      <c r="G166" s="140"/>
      <c r="H166" s="81" t="s">
        <v>1539</v>
      </c>
      <c r="I166" s="87">
        <v>16.45</v>
      </c>
      <c r="J166" s="87">
        <v>0</v>
      </c>
      <c r="K166" s="87">
        <f>I166*AO166</f>
        <v>0</v>
      </c>
      <c r="L166" s="87">
        <f>I166*AP166</f>
        <v>0</v>
      </c>
      <c r="M166" s="87">
        <f>I166*J166</f>
        <v>0</v>
      </c>
      <c r="N166" s="77" t="s">
        <v>1556</v>
      </c>
      <c r="O166" s="67"/>
      <c r="Z166" s="28">
        <f>IF(AQ166="5",BJ166,0)</f>
        <v>0</v>
      </c>
      <c r="AB166" s="28">
        <f>IF(AQ166="1",BH166,0)</f>
        <v>0</v>
      </c>
      <c r="AC166" s="28">
        <f>IF(AQ166="1",BI166,0)</f>
        <v>0</v>
      </c>
      <c r="AD166" s="28">
        <f>IF(AQ166="7",BH166,0)</f>
        <v>0</v>
      </c>
      <c r="AE166" s="28">
        <f>IF(AQ166="7",BI166,0)</f>
        <v>0</v>
      </c>
      <c r="AF166" s="28">
        <f>IF(AQ166="2",BH166,0)</f>
        <v>0</v>
      </c>
      <c r="AG166" s="28">
        <f>IF(AQ166="2",BI166,0)</f>
        <v>0</v>
      </c>
      <c r="AH166" s="28">
        <f>IF(AQ166="0",BJ166,0)</f>
        <v>0</v>
      </c>
      <c r="AI166" s="27" t="s">
        <v>283</v>
      </c>
      <c r="AJ166" s="18">
        <f>IF(AN166=0,M166,0)</f>
        <v>0</v>
      </c>
      <c r="AK166" s="18">
        <f>IF(AN166=15,M166,0)</f>
        <v>0</v>
      </c>
      <c r="AL166" s="18">
        <f>IF(AN166=21,M166,0)</f>
        <v>0</v>
      </c>
      <c r="AN166" s="28">
        <v>15</v>
      </c>
      <c r="AO166" s="28">
        <f>J166*0.723197611495556</f>
        <v>0</v>
      </c>
      <c r="AP166" s="28">
        <f>J166*(1-0.723197611495556)</f>
        <v>0</v>
      </c>
      <c r="AQ166" s="29" t="s">
        <v>7</v>
      </c>
      <c r="AV166" s="28">
        <f>AW166+AX166</f>
        <v>0</v>
      </c>
      <c r="AW166" s="28">
        <f>I166*AO166</f>
        <v>0</v>
      </c>
      <c r="AX166" s="28">
        <f>I166*AP166</f>
        <v>0</v>
      </c>
      <c r="AY166" s="31" t="s">
        <v>1582</v>
      </c>
      <c r="AZ166" s="31" t="s">
        <v>1618</v>
      </c>
      <c r="BA166" s="27" t="s">
        <v>1628</v>
      </c>
      <c r="BC166" s="28">
        <f>AW166+AX166</f>
        <v>0</v>
      </c>
      <c r="BD166" s="28">
        <f>J166/(100-BE166)*100</f>
        <v>0</v>
      </c>
      <c r="BE166" s="28">
        <v>0</v>
      </c>
      <c r="BF166" s="28">
        <f>166</f>
        <v>166</v>
      </c>
      <c r="BH166" s="18">
        <f>I166*AO166</f>
        <v>0</v>
      </c>
      <c r="BI166" s="18">
        <f>I166*AP166</f>
        <v>0</v>
      </c>
      <c r="BJ166" s="18">
        <f>I166*J166</f>
        <v>0</v>
      </c>
      <c r="BK166" s="18" t="s">
        <v>1634</v>
      </c>
      <c r="BL166" s="28">
        <v>62</v>
      </c>
    </row>
    <row r="167" spans="1:15" ht="12.75">
      <c r="A167" s="82"/>
      <c r="B167" s="83"/>
      <c r="C167" s="83"/>
      <c r="D167" s="85" t="s">
        <v>711</v>
      </c>
      <c r="G167" s="86" t="s">
        <v>1369</v>
      </c>
      <c r="H167" s="83"/>
      <c r="I167" s="88">
        <v>16.45</v>
      </c>
      <c r="J167" s="83"/>
      <c r="K167" s="83"/>
      <c r="L167" s="83"/>
      <c r="M167" s="83"/>
      <c r="N167" s="80"/>
      <c r="O167" s="67"/>
    </row>
    <row r="168" spans="1:15" ht="12.75">
      <c r="A168" s="3"/>
      <c r="C168" s="12" t="s">
        <v>296</v>
      </c>
      <c r="D168" s="142" t="s">
        <v>622</v>
      </c>
      <c r="E168" s="143"/>
      <c r="F168" s="143"/>
      <c r="G168" s="143"/>
      <c r="H168" s="143"/>
      <c r="I168" s="143"/>
      <c r="J168" s="143"/>
      <c r="K168" s="143"/>
      <c r="L168" s="143"/>
      <c r="M168" s="143"/>
      <c r="N168" s="144"/>
      <c r="O168" s="3"/>
    </row>
    <row r="169" spans="1:64" ht="12.75">
      <c r="A169" s="81" t="s">
        <v>44</v>
      </c>
      <c r="B169" s="81" t="s">
        <v>283</v>
      </c>
      <c r="C169" s="81" t="s">
        <v>328</v>
      </c>
      <c r="D169" s="139" t="s">
        <v>712</v>
      </c>
      <c r="E169" s="134"/>
      <c r="F169" s="134"/>
      <c r="G169" s="140"/>
      <c r="H169" s="81" t="s">
        <v>1535</v>
      </c>
      <c r="I169" s="87">
        <v>527.239</v>
      </c>
      <c r="J169" s="87">
        <v>0</v>
      </c>
      <c r="K169" s="87">
        <f>I169*AO169</f>
        <v>0</v>
      </c>
      <c r="L169" s="87">
        <f>I169*AP169</f>
        <v>0</v>
      </c>
      <c r="M169" s="87">
        <f>I169*J169</f>
        <v>0</v>
      </c>
      <c r="N169" s="77" t="s">
        <v>1556</v>
      </c>
      <c r="O169" s="67"/>
      <c r="Z169" s="28">
        <f>IF(AQ169="5",BJ169,0)</f>
        <v>0</v>
      </c>
      <c r="AB169" s="28">
        <f>IF(AQ169="1",BH169,0)</f>
        <v>0</v>
      </c>
      <c r="AC169" s="28">
        <f>IF(AQ169="1",BI169,0)</f>
        <v>0</v>
      </c>
      <c r="AD169" s="28">
        <f>IF(AQ169="7",BH169,0)</f>
        <v>0</v>
      </c>
      <c r="AE169" s="28">
        <f>IF(AQ169="7",BI169,0)</f>
        <v>0</v>
      </c>
      <c r="AF169" s="28">
        <f>IF(AQ169="2",BH169,0)</f>
        <v>0</v>
      </c>
      <c r="AG169" s="28">
        <f>IF(AQ169="2",BI169,0)</f>
        <v>0</v>
      </c>
      <c r="AH169" s="28">
        <f>IF(AQ169="0",BJ169,0)</f>
        <v>0</v>
      </c>
      <c r="AI169" s="27" t="s">
        <v>283</v>
      </c>
      <c r="AJ169" s="18">
        <f>IF(AN169=0,M169,0)</f>
        <v>0</v>
      </c>
      <c r="AK169" s="18">
        <f>IF(AN169=15,M169,0)</f>
        <v>0</v>
      </c>
      <c r="AL169" s="18">
        <f>IF(AN169=21,M169,0)</f>
        <v>0</v>
      </c>
      <c r="AN169" s="28">
        <v>15</v>
      </c>
      <c r="AO169" s="28">
        <f>J169*0.198254353774911</f>
        <v>0</v>
      </c>
      <c r="AP169" s="28">
        <f>J169*(1-0.198254353774911)</f>
        <v>0</v>
      </c>
      <c r="AQ169" s="29" t="s">
        <v>7</v>
      </c>
      <c r="AV169" s="28">
        <f>AW169+AX169</f>
        <v>0</v>
      </c>
      <c r="AW169" s="28">
        <f>I169*AO169</f>
        <v>0</v>
      </c>
      <c r="AX169" s="28">
        <f>I169*AP169</f>
        <v>0</v>
      </c>
      <c r="AY169" s="31" t="s">
        <v>1582</v>
      </c>
      <c r="AZ169" s="31" t="s">
        <v>1618</v>
      </c>
      <c r="BA169" s="27" t="s">
        <v>1628</v>
      </c>
      <c r="BC169" s="28">
        <f>AW169+AX169</f>
        <v>0</v>
      </c>
      <c r="BD169" s="28">
        <f>J169/(100-BE169)*100</f>
        <v>0</v>
      </c>
      <c r="BE169" s="28">
        <v>0</v>
      </c>
      <c r="BF169" s="28">
        <f>169</f>
        <v>169</v>
      </c>
      <c r="BH169" s="18">
        <f>I169*AO169</f>
        <v>0</v>
      </c>
      <c r="BI169" s="18">
        <f>I169*AP169</f>
        <v>0</v>
      </c>
      <c r="BJ169" s="18">
        <f>I169*J169</f>
        <v>0</v>
      </c>
      <c r="BK169" s="18" t="s">
        <v>1634</v>
      </c>
      <c r="BL169" s="28">
        <v>62</v>
      </c>
    </row>
    <row r="170" spans="1:15" ht="12.75">
      <c r="A170" s="82"/>
      <c r="B170" s="83"/>
      <c r="C170" s="83"/>
      <c r="D170" s="85" t="s">
        <v>695</v>
      </c>
      <c r="G170" s="86" t="s">
        <v>1361</v>
      </c>
      <c r="H170" s="83"/>
      <c r="I170" s="88">
        <v>527.239</v>
      </c>
      <c r="J170" s="83"/>
      <c r="K170" s="83"/>
      <c r="L170" s="83"/>
      <c r="M170" s="83"/>
      <c r="N170" s="80"/>
      <c r="O170" s="67"/>
    </row>
    <row r="171" spans="1:15" ht="12.75">
      <c r="A171" s="3"/>
      <c r="C171" s="13" t="s">
        <v>302</v>
      </c>
      <c r="D171" s="145" t="s">
        <v>713</v>
      </c>
      <c r="E171" s="146"/>
      <c r="F171" s="146"/>
      <c r="G171" s="146"/>
      <c r="H171" s="146"/>
      <c r="I171" s="146"/>
      <c r="J171" s="146"/>
      <c r="K171" s="146"/>
      <c r="L171" s="146"/>
      <c r="M171" s="146"/>
      <c r="N171" s="147"/>
      <c r="O171" s="3"/>
    </row>
    <row r="172" spans="1:15" ht="12.75">
      <c r="A172" s="3"/>
      <c r="C172" s="12" t="s">
        <v>296</v>
      </c>
      <c r="D172" s="142" t="s">
        <v>622</v>
      </c>
      <c r="E172" s="143"/>
      <c r="F172" s="143"/>
      <c r="G172" s="143"/>
      <c r="H172" s="143"/>
      <c r="I172" s="143"/>
      <c r="J172" s="143"/>
      <c r="K172" s="143"/>
      <c r="L172" s="143"/>
      <c r="M172" s="143"/>
      <c r="N172" s="144"/>
      <c r="O172" s="3"/>
    </row>
    <row r="173" spans="1:64" ht="12.75">
      <c r="A173" s="81" t="s">
        <v>45</v>
      </c>
      <c r="B173" s="81" t="s">
        <v>283</v>
      </c>
      <c r="C173" s="81" t="s">
        <v>329</v>
      </c>
      <c r="D173" s="139" t="s">
        <v>714</v>
      </c>
      <c r="E173" s="134"/>
      <c r="F173" s="134"/>
      <c r="G173" s="140"/>
      <c r="H173" s="81" t="s">
        <v>1539</v>
      </c>
      <c r="I173" s="87">
        <v>326.11</v>
      </c>
      <c r="J173" s="87">
        <v>0</v>
      </c>
      <c r="K173" s="87">
        <f>I173*AO173</f>
        <v>0</v>
      </c>
      <c r="L173" s="87">
        <f>I173*AP173</f>
        <v>0</v>
      </c>
      <c r="M173" s="87">
        <f>I173*J173</f>
        <v>0</v>
      </c>
      <c r="N173" s="77" t="s">
        <v>1556</v>
      </c>
      <c r="O173" s="67"/>
      <c r="Z173" s="28">
        <f>IF(AQ173="5",BJ173,0)</f>
        <v>0</v>
      </c>
      <c r="AB173" s="28">
        <f>IF(AQ173="1",BH173,0)</f>
        <v>0</v>
      </c>
      <c r="AC173" s="28">
        <f>IF(AQ173="1",BI173,0)</f>
        <v>0</v>
      </c>
      <c r="AD173" s="28">
        <f>IF(AQ173="7",BH173,0)</f>
        <v>0</v>
      </c>
      <c r="AE173" s="28">
        <f>IF(AQ173="7",BI173,0)</f>
        <v>0</v>
      </c>
      <c r="AF173" s="28">
        <f>IF(AQ173="2",BH173,0)</f>
        <v>0</v>
      </c>
      <c r="AG173" s="28">
        <f>IF(AQ173="2",BI173,0)</f>
        <v>0</v>
      </c>
      <c r="AH173" s="28">
        <f>IF(AQ173="0",BJ173,0)</f>
        <v>0</v>
      </c>
      <c r="AI173" s="27" t="s">
        <v>283</v>
      </c>
      <c r="AJ173" s="18">
        <f>IF(AN173=0,M173,0)</f>
        <v>0</v>
      </c>
      <c r="AK173" s="18">
        <f>IF(AN173=15,M173,0)</f>
        <v>0</v>
      </c>
      <c r="AL173" s="18">
        <f>IF(AN173=21,M173,0)</f>
        <v>0</v>
      </c>
      <c r="AN173" s="28">
        <v>15</v>
      </c>
      <c r="AO173" s="28">
        <f>J173*0</f>
        <v>0</v>
      </c>
      <c r="AP173" s="28">
        <f>J173*(1-0)</f>
        <v>0</v>
      </c>
      <c r="AQ173" s="29" t="s">
        <v>7</v>
      </c>
      <c r="AV173" s="28">
        <f>AW173+AX173</f>
        <v>0</v>
      </c>
      <c r="AW173" s="28">
        <f>I173*AO173</f>
        <v>0</v>
      </c>
      <c r="AX173" s="28">
        <f>I173*AP173</f>
        <v>0</v>
      </c>
      <c r="AY173" s="31" t="s">
        <v>1582</v>
      </c>
      <c r="AZ173" s="31" t="s">
        <v>1618</v>
      </c>
      <c r="BA173" s="27" t="s">
        <v>1628</v>
      </c>
      <c r="BC173" s="28">
        <f>AW173+AX173</f>
        <v>0</v>
      </c>
      <c r="BD173" s="28">
        <f>J173/(100-BE173)*100</f>
        <v>0</v>
      </c>
      <c r="BE173" s="28">
        <v>0</v>
      </c>
      <c r="BF173" s="28">
        <f>173</f>
        <v>173</v>
      </c>
      <c r="BH173" s="18">
        <f>I173*AO173</f>
        <v>0</v>
      </c>
      <c r="BI173" s="18">
        <f>I173*AP173</f>
        <v>0</v>
      </c>
      <c r="BJ173" s="18">
        <f>I173*J173</f>
        <v>0</v>
      </c>
      <c r="BK173" s="18" t="s">
        <v>1634</v>
      </c>
      <c r="BL173" s="28">
        <v>62</v>
      </c>
    </row>
    <row r="174" spans="1:15" ht="12.75">
      <c r="A174" s="82"/>
      <c r="B174" s="83"/>
      <c r="C174" s="83"/>
      <c r="D174" s="85" t="s">
        <v>715</v>
      </c>
      <c r="G174" s="86"/>
      <c r="H174" s="83"/>
      <c r="I174" s="88">
        <v>326.11</v>
      </c>
      <c r="J174" s="83"/>
      <c r="K174" s="83"/>
      <c r="L174" s="83"/>
      <c r="M174" s="83"/>
      <c r="N174" s="80"/>
      <c r="O174" s="67"/>
    </row>
    <row r="175" spans="1:15" ht="12.75">
      <c r="A175" s="3"/>
      <c r="C175" s="12" t="s">
        <v>296</v>
      </c>
      <c r="D175" s="142" t="s">
        <v>622</v>
      </c>
      <c r="E175" s="143"/>
      <c r="F175" s="143"/>
      <c r="G175" s="143"/>
      <c r="H175" s="143"/>
      <c r="I175" s="143"/>
      <c r="J175" s="143"/>
      <c r="K175" s="143"/>
      <c r="L175" s="143"/>
      <c r="M175" s="143"/>
      <c r="N175" s="144"/>
      <c r="O175" s="3"/>
    </row>
    <row r="176" spans="1:64" ht="12.75">
      <c r="A176" s="94" t="s">
        <v>46</v>
      </c>
      <c r="B176" s="94" t="s">
        <v>283</v>
      </c>
      <c r="C176" s="94" t="s">
        <v>330</v>
      </c>
      <c r="D176" s="148" t="s">
        <v>716</v>
      </c>
      <c r="E176" s="149"/>
      <c r="F176" s="149"/>
      <c r="G176" s="150"/>
      <c r="H176" s="94" t="s">
        <v>1539</v>
      </c>
      <c r="I176" s="95">
        <v>84.84</v>
      </c>
      <c r="J176" s="95">
        <v>0</v>
      </c>
      <c r="K176" s="95">
        <f>I176*AO176</f>
        <v>0</v>
      </c>
      <c r="L176" s="95">
        <f>I176*AP176</f>
        <v>0</v>
      </c>
      <c r="M176" s="95">
        <f>I176*J176</f>
        <v>0</v>
      </c>
      <c r="N176" s="93" t="s">
        <v>1556</v>
      </c>
      <c r="O176" s="67"/>
      <c r="Z176" s="28">
        <f>IF(AQ176="5",BJ176,0)</f>
        <v>0</v>
      </c>
      <c r="AB176" s="28">
        <f>IF(AQ176="1",BH176,0)</f>
        <v>0</v>
      </c>
      <c r="AC176" s="28">
        <f>IF(AQ176="1",BI176,0)</f>
        <v>0</v>
      </c>
      <c r="AD176" s="28">
        <f>IF(AQ176="7",BH176,0)</f>
        <v>0</v>
      </c>
      <c r="AE176" s="28">
        <f>IF(AQ176="7",BI176,0)</f>
        <v>0</v>
      </c>
      <c r="AF176" s="28">
        <f>IF(AQ176="2",BH176,0)</f>
        <v>0</v>
      </c>
      <c r="AG176" s="28">
        <f>IF(AQ176="2",BI176,0)</f>
        <v>0</v>
      </c>
      <c r="AH176" s="28">
        <f>IF(AQ176="0",BJ176,0)</f>
        <v>0</v>
      </c>
      <c r="AI176" s="27" t="s">
        <v>283</v>
      </c>
      <c r="AJ176" s="20">
        <f>IF(AN176=0,M176,0)</f>
        <v>0</v>
      </c>
      <c r="AK176" s="20">
        <f>IF(AN176=15,M176,0)</f>
        <v>0</v>
      </c>
      <c r="AL176" s="20">
        <f>IF(AN176=21,M176,0)</f>
        <v>0</v>
      </c>
      <c r="AN176" s="28">
        <v>15</v>
      </c>
      <c r="AO176" s="28">
        <f>J176*1</f>
        <v>0</v>
      </c>
      <c r="AP176" s="28">
        <f>J176*(1-1)</f>
        <v>0</v>
      </c>
      <c r="AQ176" s="30" t="s">
        <v>7</v>
      </c>
      <c r="AV176" s="28">
        <f>AW176+AX176</f>
        <v>0</v>
      </c>
      <c r="AW176" s="28">
        <f>I176*AO176</f>
        <v>0</v>
      </c>
      <c r="AX176" s="28">
        <f>I176*AP176</f>
        <v>0</v>
      </c>
      <c r="AY176" s="31" t="s">
        <v>1582</v>
      </c>
      <c r="AZ176" s="31" t="s">
        <v>1618</v>
      </c>
      <c r="BA176" s="27" t="s">
        <v>1628</v>
      </c>
      <c r="BC176" s="28">
        <f>AW176+AX176</f>
        <v>0</v>
      </c>
      <c r="BD176" s="28">
        <f>J176/(100-BE176)*100</f>
        <v>0</v>
      </c>
      <c r="BE176" s="28">
        <v>0</v>
      </c>
      <c r="BF176" s="28">
        <f>176</f>
        <v>176</v>
      </c>
      <c r="BH176" s="20">
        <f>I176*AO176</f>
        <v>0</v>
      </c>
      <c r="BI176" s="20">
        <f>I176*AP176</f>
        <v>0</v>
      </c>
      <c r="BJ176" s="20">
        <f>I176*J176</f>
        <v>0</v>
      </c>
      <c r="BK176" s="20" t="s">
        <v>1635</v>
      </c>
      <c r="BL176" s="28">
        <v>62</v>
      </c>
    </row>
    <row r="177" spans="1:15" ht="12.75">
      <c r="A177" s="89"/>
      <c r="B177" s="90"/>
      <c r="C177" s="90"/>
      <c r="D177" s="84" t="s">
        <v>717</v>
      </c>
      <c r="G177" s="91"/>
      <c r="H177" s="90"/>
      <c r="I177" s="92">
        <v>80.8</v>
      </c>
      <c r="J177" s="90"/>
      <c r="K177" s="90"/>
      <c r="L177" s="90"/>
      <c r="M177" s="90"/>
      <c r="N177" s="79"/>
      <c r="O177" s="67"/>
    </row>
    <row r="178" spans="1:15" ht="12.75">
      <c r="A178" s="82"/>
      <c r="B178" s="83"/>
      <c r="C178" s="83"/>
      <c r="D178" s="85" t="s">
        <v>718</v>
      </c>
      <c r="G178" s="86"/>
      <c r="H178" s="83"/>
      <c r="I178" s="88">
        <v>4.04</v>
      </c>
      <c r="J178" s="83"/>
      <c r="K178" s="83"/>
      <c r="L178" s="83"/>
      <c r="M178" s="83"/>
      <c r="N178" s="80"/>
      <c r="O178" s="67"/>
    </row>
    <row r="179" spans="1:15" ht="12.75">
      <c r="A179" s="3"/>
      <c r="C179" s="12" t="s">
        <v>296</v>
      </c>
      <c r="D179" s="142" t="s">
        <v>622</v>
      </c>
      <c r="E179" s="143"/>
      <c r="F179" s="143"/>
      <c r="G179" s="143"/>
      <c r="H179" s="143"/>
      <c r="I179" s="143"/>
      <c r="J179" s="143"/>
      <c r="K179" s="143"/>
      <c r="L179" s="143"/>
      <c r="M179" s="143"/>
      <c r="N179" s="144"/>
      <c r="O179" s="3"/>
    </row>
    <row r="180" spans="1:64" ht="12.75">
      <c r="A180" s="94" t="s">
        <v>47</v>
      </c>
      <c r="B180" s="94" t="s">
        <v>283</v>
      </c>
      <c r="C180" s="94" t="s">
        <v>331</v>
      </c>
      <c r="D180" s="148" t="s">
        <v>719</v>
      </c>
      <c r="E180" s="149"/>
      <c r="F180" s="149"/>
      <c r="G180" s="150"/>
      <c r="H180" s="94" t="s">
        <v>1539</v>
      </c>
      <c r="I180" s="95">
        <v>257.5755</v>
      </c>
      <c r="J180" s="95">
        <v>0</v>
      </c>
      <c r="K180" s="95">
        <f>I180*AO180</f>
        <v>0</v>
      </c>
      <c r="L180" s="95">
        <f>I180*AP180</f>
        <v>0</v>
      </c>
      <c r="M180" s="95">
        <f>I180*J180</f>
        <v>0</v>
      </c>
      <c r="N180" s="93" t="s">
        <v>1556</v>
      </c>
      <c r="O180" s="67"/>
      <c r="Z180" s="28">
        <f>IF(AQ180="5",BJ180,0)</f>
        <v>0</v>
      </c>
      <c r="AB180" s="28">
        <f>IF(AQ180="1",BH180,0)</f>
        <v>0</v>
      </c>
      <c r="AC180" s="28">
        <f>IF(AQ180="1",BI180,0)</f>
        <v>0</v>
      </c>
      <c r="AD180" s="28">
        <f>IF(AQ180="7",BH180,0)</f>
        <v>0</v>
      </c>
      <c r="AE180" s="28">
        <f>IF(AQ180="7",BI180,0)</f>
        <v>0</v>
      </c>
      <c r="AF180" s="28">
        <f>IF(AQ180="2",BH180,0)</f>
        <v>0</v>
      </c>
      <c r="AG180" s="28">
        <f>IF(AQ180="2",BI180,0)</f>
        <v>0</v>
      </c>
      <c r="AH180" s="28">
        <f>IF(AQ180="0",BJ180,0)</f>
        <v>0</v>
      </c>
      <c r="AI180" s="27" t="s">
        <v>283</v>
      </c>
      <c r="AJ180" s="20">
        <f>IF(AN180=0,M180,0)</f>
        <v>0</v>
      </c>
      <c r="AK180" s="20">
        <f>IF(AN180=15,M180,0)</f>
        <v>0</v>
      </c>
      <c r="AL180" s="20">
        <f>IF(AN180=21,M180,0)</f>
        <v>0</v>
      </c>
      <c r="AN180" s="28">
        <v>15</v>
      </c>
      <c r="AO180" s="28">
        <f>J180*1</f>
        <v>0</v>
      </c>
      <c r="AP180" s="28">
        <f>J180*(1-1)</f>
        <v>0</v>
      </c>
      <c r="AQ180" s="30" t="s">
        <v>7</v>
      </c>
      <c r="AV180" s="28">
        <f>AW180+AX180</f>
        <v>0</v>
      </c>
      <c r="AW180" s="28">
        <f>I180*AO180</f>
        <v>0</v>
      </c>
      <c r="AX180" s="28">
        <f>I180*AP180</f>
        <v>0</v>
      </c>
      <c r="AY180" s="31" t="s">
        <v>1582</v>
      </c>
      <c r="AZ180" s="31" t="s">
        <v>1618</v>
      </c>
      <c r="BA180" s="27" t="s">
        <v>1628</v>
      </c>
      <c r="BC180" s="28">
        <f>AW180+AX180</f>
        <v>0</v>
      </c>
      <c r="BD180" s="28">
        <f>J180/(100-BE180)*100</f>
        <v>0</v>
      </c>
      <c r="BE180" s="28">
        <v>0</v>
      </c>
      <c r="BF180" s="28">
        <f>180</f>
        <v>180</v>
      </c>
      <c r="BH180" s="20">
        <f>I180*AO180</f>
        <v>0</v>
      </c>
      <c r="BI180" s="20">
        <f>I180*AP180</f>
        <v>0</v>
      </c>
      <c r="BJ180" s="20">
        <f>I180*J180</f>
        <v>0</v>
      </c>
      <c r="BK180" s="20" t="s">
        <v>1635</v>
      </c>
      <c r="BL180" s="28">
        <v>62</v>
      </c>
    </row>
    <row r="181" spans="1:15" ht="12.75">
      <c r="A181" s="89"/>
      <c r="B181" s="90"/>
      <c r="C181" s="90"/>
      <c r="D181" s="84" t="s">
        <v>720</v>
      </c>
      <c r="G181" s="91"/>
      <c r="H181" s="90"/>
      <c r="I181" s="92">
        <v>245.31</v>
      </c>
      <c r="J181" s="90"/>
      <c r="K181" s="90"/>
      <c r="L181" s="90"/>
      <c r="M181" s="90"/>
      <c r="N181" s="79"/>
      <c r="O181" s="67"/>
    </row>
    <row r="182" spans="1:15" ht="12.75">
      <c r="A182" s="82"/>
      <c r="B182" s="83"/>
      <c r="C182" s="83"/>
      <c r="D182" s="85" t="s">
        <v>721</v>
      </c>
      <c r="G182" s="86"/>
      <c r="H182" s="83"/>
      <c r="I182" s="88">
        <v>12.2655</v>
      </c>
      <c r="J182" s="83"/>
      <c r="K182" s="83"/>
      <c r="L182" s="83"/>
      <c r="M182" s="83"/>
      <c r="N182" s="80"/>
      <c r="O182" s="67"/>
    </row>
    <row r="183" spans="1:15" ht="12.75">
      <c r="A183" s="3"/>
      <c r="C183" s="12" t="s">
        <v>296</v>
      </c>
      <c r="D183" s="142" t="s">
        <v>622</v>
      </c>
      <c r="E183" s="143"/>
      <c r="F183" s="143"/>
      <c r="G183" s="143"/>
      <c r="H183" s="143"/>
      <c r="I183" s="143"/>
      <c r="J183" s="143"/>
      <c r="K183" s="143"/>
      <c r="L183" s="143"/>
      <c r="M183" s="143"/>
      <c r="N183" s="144"/>
      <c r="O183" s="3"/>
    </row>
    <row r="184" spans="1:64" ht="12.75">
      <c r="A184" s="81" t="s">
        <v>48</v>
      </c>
      <c r="B184" s="81" t="s">
        <v>283</v>
      </c>
      <c r="C184" s="81" t="s">
        <v>332</v>
      </c>
      <c r="D184" s="139" t="s">
        <v>722</v>
      </c>
      <c r="E184" s="134"/>
      <c r="F184" s="134"/>
      <c r="G184" s="140"/>
      <c r="H184" s="81" t="s">
        <v>1535</v>
      </c>
      <c r="I184" s="87">
        <v>659.35955</v>
      </c>
      <c r="J184" s="87">
        <v>0</v>
      </c>
      <c r="K184" s="87">
        <f>I184*AO184</f>
        <v>0</v>
      </c>
      <c r="L184" s="87">
        <f>I184*AP184</f>
        <v>0</v>
      </c>
      <c r="M184" s="87">
        <f>I184*J184</f>
        <v>0</v>
      </c>
      <c r="N184" s="77" t="s">
        <v>1554</v>
      </c>
      <c r="O184" s="67"/>
      <c r="Z184" s="28">
        <f>IF(AQ184="5",BJ184,0)</f>
        <v>0</v>
      </c>
      <c r="AB184" s="28">
        <f>IF(AQ184="1",BH184,0)</f>
        <v>0</v>
      </c>
      <c r="AC184" s="28">
        <f>IF(AQ184="1",BI184,0)</f>
        <v>0</v>
      </c>
      <c r="AD184" s="28">
        <f>IF(AQ184="7",BH184,0)</f>
        <v>0</v>
      </c>
      <c r="AE184" s="28">
        <f>IF(AQ184="7",BI184,0)</f>
        <v>0</v>
      </c>
      <c r="AF184" s="28">
        <f>IF(AQ184="2",BH184,0)</f>
        <v>0</v>
      </c>
      <c r="AG184" s="28">
        <f>IF(AQ184="2",BI184,0)</f>
        <v>0</v>
      </c>
      <c r="AH184" s="28">
        <f>IF(AQ184="0",BJ184,0)</f>
        <v>0</v>
      </c>
      <c r="AI184" s="27" t="s">
        <v>283</v>
      </c>
      <c r="AJ184" s="18">
        <f>IF(AN184=0,M184,0)</f>
        <v>0</v>
      </c>
      <c r="AK184" s="18">
        <f>IF(AN184=15,M184,0)</f>
        <v>0</v>
      </c>
      <c r="AL184" s="18">
        <f>IF(AN184=21,M184,0)</f>
        <v>0</v>
      </c>
      <c r="AN184" s="28">
        <v>15</v>
      </c>
      <c r="AO184" s="28">
        <f>J184*0.547233221755619</f>
        <v>0</v>
      </c>
      <c r="AP184" s="28">
        <f>J184*(1-0.547233221755619)</f>
        <v>0</v>
      </c>
      <c r="AQ184" s="29" t="s">
        <v>7</v>
      </c>
      <c r="AV184" s="28">
        <f>AW184+AX184</f>
        <v>0</v>
      </c>
      <c r="AW184" s="28">
        <f>I184*AO184</f>
        <v>0</v>
      </c>
      <c r="AX184" s="28">
        <f>I184*AP184</f>
        <v>0</v>
      </c>
      <c r="AY184" s="31" t="s">
        <v>1582</v>
      </c>
      <c r="AZ184" s="31" t="s">
        <v>1618</v>
      </c>
      <c r="BA184" s="27" t="s">
        <v>1628</v>
      </c>
      <c r="BC184" s="28">
        <f>AW184+AX184</f>
        <v>0</v>
      </c>
      <c r="BD184" s="28">
        <f>J184/(100-BE184)*100</f>
        <v>0</v>
      </c>
      <c r="BE184" s="28">
        <v>0</v>
      </c>
      <c r="BF184" s="28">
        <f>184</f>
        <v>184</v>
      </c>
      <c r="BH184" s="18">
        <f>I184*AO184</f>
        <v>0</v>
      </c>
      <c r="BI184" s="18">
        <f>I184*AP184</f>
        <v>0</v>
      </c>
      <c r="BJ184" s="18">
        <f>I184*J184</f>
        <v>0</v>
      </c>
      <c r="BK184" s="18" t="s">
        <v>1634</v>
      </c>
      <c r="BL184" s="28">
        <v>62</v>
      </c>
    </row>
    <row r="185" spans="1:15" ht="12.75">
      <c r="A185" s="89"/>
      <c r="B185" s="90"/>
      <c r="C185" s="90"/>
      <c r="D185" s="84" t="s">
        <v>674</v>
      </c>
      <c r="G185" s="91" t="s">
        <v>1370</v>
      </c>
      <c r="H185" s="90"/>
      <c r="I185" s="92">
        <v>616.17855</v>
      </c>
      <c r="J185" s="90"/>
      <c r="K185" s="90"/>
      <c r="L185" s="90"/>
      <c r="M185" s="90"/>
      <c r="N185" s="79"/>
      <c r="O185" s="67"/>
    </row>
    <row r="186" spans="1:15" ht="12.75">
      <c r="A186" s="82"/>
      <c r="B186" s="83"/>
      <c r="C186" s="83"/>
      <c r="D186" s="85" t="s">
        <v>672</v>
      </c>
      <c r="G186" s="86" t="s">
        <v>1354</v>
      </c>
      <c r="H186" s="83"/>
      <c r="I186" s="88">
        <v>43.181</v>
      </c>
      <c r="J186" s="83"/>
      <c r="K186" s="83"/>
      <c r="L186" s="83"/>
      <c r="M186" s="83"/>
      <c r="N186" s="80"/>
      <c r="O186" s="67"/>
    </row>
    <row r="187" spans="1:15" ht="12.75">
      <c r="A187" s="3"/>
      <c r="C187" s="12" t="s">
        <v>296</v>
      </c>
      <c r="D187" s="142" t="s">
        <v>622</v>
      </c>
      <c r="E187" s="143"/>
      <c r="F187" s="143"/>
      <c r="G187" s="143"/>
      <c r="H187" s="143"/>
      <c r="I187" s="143"/>
      <c r="J187" s="143"/>
      <c r="K187" s="143"/>
      <c r="L187" s="143"/>
      <c r="M187" s="143"/>
      <c r="N187" s="144"/>
      <c r="O187" s="3"/>
    </row>
    <row r="188" spans="1:64" ht="12.75">
      <c r="A188" s="74" t="s">
        <v>49</v>
      </c>
      <c r="B188" s="74" t="s">
        <v>283</v>
      </c>
      <c r="C188" s="74" t="s">
        <v>333</v>
      </c>
      <c r="D188" s="133" t="s">
        <v>723</v>
      </c>
      <c r="E188" s="134"/>
      <c r="F188" s="134"/>
      <c r="G188" s="135"/>
      <c r="H188" s="74" t="s">
        <v>1535</v>
      </c>
      <c r="I188" s="75">
        <v>39.771</v>
      </c>
      <c r="J188" s="75">
        <v>0</v>
      </c>
      <c r="K188" s="75">
        <f>I188*AO188</f>
        <v>0</v>
      </c>
      <c r="L188" s="75">
        <f>I188*AP188</f>
        <v>0</v>
      </c>
      <c r="M188" s="75">
        <f>I188*J188</f>
        <v>0</v>
      </c>
      <c r="N188" s="78" t="s">
        <v>1556</v>
      </c>
      <c r="O188" s="67"/>
      <c r="Z188" s="28">
        <f>IF(AQ188="5",BJ188,0)</f>
        <v>0</v>
      </c>
      <c r="AB188" s="28">
        <f>IF(AQ188="1",BH188,0)</f>
        <v>0</v>
      </c>
      <c r="AC188" s="28">
        <f>IF(AQ188="1",BI188,0)</f>
        <v>0</v>
      </c>
      <c r="AD188" s="28">
        <f>IF(AQ188="7",BH188,0)</f>
        <v>0</v>
      </c>
      <c r="AE188" s="28">
        <f>IF(AQ188="7",BI188,0)</f>
        <v>0</v>
      </c>
      <c r="AF188" s="28">
        <f>IF(AQ188="2",BH188,0)</f>
        <v>0</v>
      </c>
      <c r="AG188" s="28">
        <f>IF(AQ188="2",BI188,0)</f>
        <v>0</v>
      </c>
      <c r="AH188" s="28">
        <f>IF(AQ188="0",BJ188,0)</f>
        <v>0</v>
      </c>
      <c r="AI188" s="27" t="s">
        <v>283</v>
      </c>
      <c r="AJ188" s="18">
        <f>IF(AN188=0,M188,0)</f>
        <v>0</v>
      </c>
      <c r="AK188" s="18">
        <f>IF(AN188=15,M188,0)</f>
        <v>0</v>
      </c>
      <c r="AL188" s="18">
        <f>IF(AN188=21,M188,0)</f>
        <v>0</v>
      </c>
      <c r="AN188" s="28">
        <v>15</v>
      </c>
      <c r="AO188" s="28">
        <f>J188*0.209462346714299</f>
        <v>0</v>
      </c>
      <c r="AP188" s="28">
        <f>J188*(1-0.209462346714299)</f>
        <v>0</v>
      </c>
      <c r="AQ188" s="29" t="s">
        <v>7</v>
      </c>
      <c r="AV188" s="28">
        <f>AW188+AX188</f>
        <v>0</v>
      </c>
      <c r="AW188" s="28">
        <f>I188*AO188</f>
        <v>0</v>
      </c>
      <c r="AX188" s="28">
        <f>I188*AP188</f>
        <v>0</v>
      </c>
      <c r="AY188" s="31" t="s">
        <v>1582</v>
      </c>
      <c r="AZ188" s="31" t="s">
        <v>1618</v>
      </c>
      <c r="BA188" s="27" t="s">
        <v>1628</v>
      </c>
      <c r="BC188" s="28">
        <f>AW188+AX188</f>
        <v>0</v>
      </c>
      <c r="BD188" s="28">
        <f>J188/(100-BE188)*100</f>
        <v>0</v>
      </c>
      <c r="BE188" s="28">
        <v>0</v>
      </c>
      <c r="BF188" s="28">
        <f>188</f>
        <v>188</v>
      </c>
      <c r="BH188" s="18">
        <f>I188*AO188</f>
        <v>0</v>
      </c>
      <c r="BI188" s="18">
        <f>I188*AP188</f>
        <v>0</v>
      </c>
      <c r="BJ188" s="18">
        <f>I188*J188</f>
        <v>0</v>
      </c>
      <c r="BK188" s="18" t="s">
        <v>1634</v>
      </c>
      <c r="BL188" s="28">
        <v>62</v>
      </c>
    </row>
    <row r="189" spans="1:15" ht="12.75">
      <c r="A189" s="3"/>
      <c r="D189" s="136" t="s">
        <v>724</v>
      </c>
      <c r="E189" s="137"/>
      <c r="F189" s="137"/>
      <c r="G189" s="137"/>
      <c r="H189" s="137"/>
      <c r="I189" s="137"/>
      <c r="J189" s="137"/>
      <c r="K189" s="137"/>
      <c r="L189" s="137"/>
      <c r="M189" s="137"/>
      <c r="N189" s="138"/>
      <c r="O189" s="3"/>
    </row>
    <row r="190" spans="1:15" ht="12.75">
      <c r="A190" s="89"/>
      <c r="B190" s="90"/>
      <c r="C190" s="90"/>
      <c r="D190" s="84" t="s">
        <v>725</v>
      </c>
      <c r="G190" s="91" t="s">
        <v>1335</v>
      </c>
      <c r="H190" s="90"/>
      <c r="I190" s="92">
        <v>30.279</v>
      </c>
      <c r="J190" s="90"/>
      <c r="K190" s="90"/>
      <c r="L190" s="90"/>
      <c r="M190" s="90"/>
      <c r="N190" s="79"/>
      <c r="O190" s="67"/>
    </row>
    <row r="191" spans="1:15" ht="12.75">
      <c r="A191" s="82"/>
      <c r="B191" s="83"/>
      <c r="C191" s="83"/>
      <c r="D191" s="85" t="s">
        <v>726</v>
      </c>
      <c r="G191" s="86" t="s">
        <v>1371</v>
      </c>
      <c r="H191" s="83"/>
      <c r="I191" s="88">
        <v>9.492</v>
      </c>
      <c r="J191" s="83"/>
      <c r="K191" s="83"/>
      <c r="L191" s="83"/>
      <c r="M191" s="83"/>
      <c r="N191" s="80"/>
      <c r="O191" s="67"/>
    </row>
    <row r="192" spans="1:15" ht="12.75">
      <c r="A192" s="3"/>
      <c r="C192" s="12" t="s">
        <v>296</v>
      </c>
      <c r="D192" s="142" t="s">
        <v>622</v>
      </c>
      <c r="E192" s="143"/>
      <c r="F192" s="143"/>
      <c r="G192" s="143"/>
      <c r="H192" s="143"/>
      <c r="I192" s="143"/>
      <c r="J192" s="143"/>
      <c r="K192" s="143"/>
      <c r="L192" s="143"/>
      <c r="M192" s="143"/>
      <c r="N192" s="144"/>
      <c r="O192" s="3"/>
    </row>
    <row r="193" spans="1:64" ht="12.75">
      <c r="A193" s="74" t="s">
        <v>50</v>
      </c>
      <c r="B193" s="74" t="s">
        <v>283</v>
      </c>
      <c r="C193" s="74" t="s">
        <v>334</v>
      </c>
      <c r="D193" s="133" t="s">
        <v>727</v>
      </c>
      <c r="E193" s="134"/>
      <c r="F193" s="134"/>
      <c r="G193" s="135"/>
      <c r="H193" s="74" t="s">
        <v>1535</v>
      </c>
      <c r="I193" s="75">
        <v>527.239</v>
      </c>
      <c r="J193" s="75">
        <v>0</v>
      </c>
      <c r="K193" s="75">
        <f>I193*AO193</f>
        <v>0</v>
      </c>
      <c r="L193" s="75">
        <f>I193*AP193</f>
        <v>0</v>
      </c>
      <c r="M193" s="75">
        <f>I193*J193</f>
        <v>0</v>
      </c>
      <c r="N193" s="78" t="s">
        <v>1556</v>
      </c>
      <c r="O193" s="67"/>
      <c r="Z193" s="28">
        <f>IF(AQ193="5",BJ193,0)</f>
        <v>0</v>
      </c>
      <c r="AB193" s="28">
        <f>IF(AQ193="1",BH193,0)</f>
        <v>0</v>
      </c>
      <c r="AC193" s="28">
        <f>IF(AQ193="1",BI193,0)</f>
        <v>0</v>
      </c>
      <c r="AD193" s="28">
        <f>IF(AQ193="7",BH193,0)</f>
        <v>0</v>
      </c>
      <c r="AE193" s="28">
        <f>IF(AQ193="7",BI193,0)</f>
        <v>0</v>
      </c>
      <c r="AF193" s="28">
        <f>IF(AQ193="2",BH193,0)</f>
        <v>0</v>
      </c>
      <c r="AG193" s="28">
        <f>IF(AQ193="2",BI193,0)</f>
        <v>0</v>
      </c>
      <c r="AH193" s="28">
        <f>IF(AQ193="0",BJ193,0)</f>
        <v>0</v>
      </c>
      <c r="AI193" s="27" t="s">
        <v>283</v>
      </c>
      <c r="AJ193" s="18">
        <f>IF(AN193=0,M193,0)</f>
        <v>0</v>
      </c>
      <c r="AK193" s="18">
        <f>IF(AN193=15,M193,0)</f>
        <v>0</v>
      </c>
      <c r="AL193" s="18">
        <f>IF(AN193=21,M193,0)</f>
        <v>0</v>
      </c>
      <c r="AN193" s="28">
        <v>15</v>
      </c>
      <c r="AO193" s="28">
        <f>J193*0.620268579703975</f>
        <v>0</v>
      </c>
      <c r="AP193" s="28">
        <f>J193*(1-0.620268579703975)</f>
        <v>0</v>
      </c>
      <c r="AQ193" s="29" t="s">
        <v>7</v>
      </c>
      <c r="AV193" s="28">
        <f>AW193+AX193</f>
        <v>0</v>
      </c>
      <c r="AW193" s="28">
        <f>I193*AO193</f>
        <v>0</v>
      </c>
      <c r="AX193" s="28">
        <f>I193*AP193</f>
        <v>0</v>
      </c>
      <c r="AY193" s="31" t="s">
        <v>1582</v>
      </c>
      <c r="AZ193" s="31" t="s">
        <v>1618</v>
      </c>
      <c r="BA193" s="27" t="s">
        <v>1628</v>
      </c>
      <c r="BC193" s="28">
        <f>AW193+AX193</f>
        <v>0</v>
      </c>
      <c r="BD193" s="28">
        <f>J193/(100-BE193)*100</f>
        <v>0</v>
      </c>
      <c r="BE193" s="28">
        <v>0</v>
      </c>
      <c r="BF193" s="28">
        <f>193</f>
        <v>193</v>
      </c>
      <c r="BH193" s="18">
        <f>I193*AO193</f>
        <v>0</v>
      </c>
      <c r="BI193" s="18">
        <f>I193*AP193</f>
        <v>0</v>
      </c>
      <c r="BJ193" s="18">
        <f>I193*J193</f>
        <v>0</v>
      </c>
      <c r="BK193" s="18" t="s">
        <v>1634</v>
      </c>
      <c r="BL193" s="28">
        <v>62</v>
      </c>
    </row>
    <row r="194" spans="1:15" ht="12.75">
      <c r="A194" s="3"/>
      <c r="D194" s="136" t="s">
        <v>728</v>
      </c>
      <c r="E194" s="137"/>
      <c r="F194" s="137"/>
      <c r="G194" s="137"/>
      <c r="H194" s="137"/>
      <c r="I194" s="137"/>
      <c r="J194" s="137"/>
      <c r="K194" s="137"/>
      <c r="L194" s="137"/>
      <c r="M194" s="137"/>
      <c r="N194" s="138"/>
      <c r="O194" s="3"/>
    </row>
    <row r="195" spans="1:15" ht="12.75">
      <c r="A195" s="89"/>
      <c r="B195" s="90"/>
      <c r="C195" s="90"/>
      <c r="D195" s="84" t="s">
        <v>729</v>
      </c>
      <c r="G195" s="91" t="s">
        <v>1372</v>
      </c>
      <c r="H195" s="90"/>
      <c r="I195" s="92">
        <v>208.354</v>
      </c>
      <c r="J195" s="90"/>
      <c r="K195" s="90"/>
      <c r="L195" s="90"/>
      <c r="M195" s="90"/>
      <c r="N195" s="79"/>
      <c r="O195" s="67"/>
    </row>
    <row r="196" spans="1:15" ht="12.75">
      <c r="A196" s="89"/>
      <c r="B196" s="90"/>
      <c r="C196" s="90"/>
      <c r="D196" s="84" t="s">
        <v>730</v>
      </c>
      <c r="G196" s="91" t="s">
        <v>1372</v>
      </c>
      <c r="H196" s="90"/>
      <c r="I196" s="92">
        <v>126.36825</v>
      </c>
      <c r="J196" s="90"/>
      <c r="K196" s="90"/>
      <c r="L196" s="90"/>
      <c r="M196" s="90"/>
      <c r="N196" s="79"/>
      <c r="O196" s="67"/>
    </row>
    <row r="197" spans="1:15" ht="12.75">
      <c r="A197" s="89"/>
      <c r="B197" s="90"/>
      <c r="C197" s="90"/>
      <c r="D197" s="84" t="s">
        <v>731</v>
      </c>
      <c r="G197" s="91" t="s">
        <v>1372</v>
      </c>
      <c r="H197" s="90"/>
      <c r="I197" s="92">
        <v>114.1178</v>
      </c>
      <c r="J197" s="90"/>
      <c r="K197" s="90"/>
      <c r="L197" s="90"/>
      <c r="M197" s="90"/>
      <c r="N197" s="79"/>
      <c r="O197" s="67"/>
    </row>
    <row r="198" spans="1:15" ht="12.75">
      <c r="A198" s="89"/>
      <c r="B198" s="90"/>
      <c r="C198" s="90"/>
      <c r="D198" s="84" t="s">
        <v>732</v>
      </c>
      <c r="G198" s="91" t="s">
        <v>1373</v>
      </c>
      <c r="H198" s="90"/>
      <c r="I198" s="92">
        <v>233.87645</v>
      </c>
      <c r="J198" s="90"/>
      <c r="K198" s="90"/>
      <c r="L198" s="90"/>
      <c r="M198" s="90"/>
      <c r="N198" s="79"/>
      <c r="O198" s="67"/>
    </row>
    <row r="199" spans="1:15" ht="12.75">
      <c r="A199" s="89"/>
      <c r="B199" s="90"/>
      <c r="C199" s="90"/>
      <c r="D199" s="84" t="s">
        <v>733</v>
      </c>
      <c r="G199" s="91" t="s">
        <v>1362</v>
      </c>
      <c r="H199" s="90"/>
      <c r="I199" s="92">
        <v>-36.4775</v>
      </c>
      <c r="J199" s="90"/>
      <c r="K199" s="90"/>
      <c r="L199" s="90"/>
      <c r="M199" s="90"/>
      <c r="N199" s="79"/>
      <c r="O199" s="67"/>
    </row>
    <row r="200" spans="1:15" ht="12.75">
      <c r="A200" s="82"/>
      <c r="B200" s="83"/>
      <c r="C200" s="83"/>
      <c r="D200" s="85" t="s">
        <v>734</v>
      </c>
      <c r="G200" s="86" t="s">
        <v>1374</v>
      </c>
      <c r="H200" s="83"/>
      <c r="I200" s="88">
        <v>-119</v>
      </c>
      <c r="J200" s="83"/>
      <c r="K200" s="83"/>
      <c r="L200" s="83"/>
      <c r="M200" s="83"/>
      <c r="N200" s="80"/>
      <c r="O200" s="67"/>
    </row>
    <row r="201" spans="1:15" ht="12.75">
      <c r="A201" s="3"/>
      <c r="C201" s="13" t="s">
        <v>302</v>
      </c>
      <c r="D201" s="145" t="s">
        <v>735</v>
      </c>
      <c r="E201" s="146"/>
      <c r="F201" s="146"/>
      <c r="G201" s="146"/>
      <c r="H201" s="146"/>
      <c r="I201" s="146"/>
      <c r="J201" s="146"/>
      <c r="K201" s="146"/>
      <c r="L201" s="146"/>
      <c r="M201" s="146"/>
      <c r="N201" s="147"/>
      <c r="O201" s="3"/>
    </row>
    <row r="202" spans="1:15" ht="12.75">
      <c r="A202" s="3"/>
      <c r="C202" s="12" t="s">
        <v>296</v>
      </c>
      <c r="D202" s="142" t="s">
        <v>622</v>
      </c>
      <c r="E202" s="143"/>
      <c r="F202" s="143"/>
      <c r="G202" s="143"/>
      <c r="H202" s="143"/>
      <c r="I202" s="143"/>
      <c r="J202" s="143"/>
      <c r="K202" s="143"/>
      <c r="L202" s="143"/>
      <c r="M202" s="143"/>
      <c r="N202" s="144"/>
      <c r="O202" s="3"/>
    </row>
    <row r="203" spans="1:64" ht="12.75">
      <c r="A203" s="74" t="s">
        <v>51</v>
      </c>
      <c r="B203" s="74" t="s">
        <v>283</v>
      </c>
      <c r="C203" s="74" t="s">
        <v>335</v>
      </c>
      <c r="D203" s="133" t="s">
        <v>736</v>
      </c>
      <c r="E203" s="134"/>
      <c r="F203" s="134"/>
      <c r="G203" s="135"/>
      <c r="H203" s="74" t="s">
        <v>1535</v>
      </c>
      <c r="I203" s="75">
        <v>37.8125</v>
      </c>
      <c r="J203" s="75">
        <v>0</v>
      </c>
      <c r="K203" s="75">
        <f>I203*AO203</f>
        <v>0</v>
      </c>
      <c r="L203" s="75">
        <f>I203*AP203</f>
        <v>0</v>
      </c>
      <c r="M203" s="75">
        <f>I203*J203</f>
        <v>0</v>
      </c>
      <c r="N203" s="78" t="s">
        <v>1556</v>
      </c>
      <c r="O203" s="67"/>
      <c r="Z203" s="28">
        <f>IF(AQ203="5",BJ203,0)</f>
        <v>0</v>
      </c>
      <c r="AB203" s="28">
        <f>IF(AQ203="1",BH203,0)</f>
        <v>0</v>
      </c>
      <c r="AC203" s="28">
        <f>IF(AQ203="1",BI203,0)</f>
        <v>0</v>
      </c>
      <c r="AD203" s="28">
        <f>IF(AQ203="7",BH203,0)</f>
        <v>0</v>
      </c>
      <c r="AE203" s="28">
        <f>IF(AQ203="7",BI203,0)</f>
        <v>0</v>
      </c>
      <c r="AF203" s="28">
        <f>IF(AQ203="2",BH203,0)</f>
        <v>0</v>
      </c>
      <c r="AG203" s="28">
        <f>IF(AQ203="2",BI203,0)</f>
        <v>0</v>
      </c>
      <c r="AH203" s="28">
        <f>IF(AQ203="0",BJ203,0)</f>
        <v>0</v>
      </c>
      <c r="AI203" s="27" t="s">
        <v>283</v>
      </c>
      <c r="AJ203" s="18">
        <f>IF(AN203=0,M203,0)</f>
        <v>0</v>
      </c>
      <c r="AK203" s="18">
        <f>IF(AN203=15,M203,0)</f>
        <v>0</v>
      </c>
      <c r="AL203" s="18">
        <f>IF(AN203=21,M203,0)</f>
        <v>0</v>
      </c>
      <c r="AN203" s="28">
        <v>15</v>
      </c>
      <c r="AO203" s="28">
        <f>J203*0.768732754366223</f>
        <v>0</v>
      </c>
      <c r="AP203" s="28">
        <f>J203*(1-0.768732754366223)</f>
        <v>0</v>
      </c>
      <c r="AQ203" s="29" t="s">
        <v>7</v>
      </c>
      <c r="AV203" s="28">
        <f>AW203+AX203</f>
        <v>0</v>
      </c>
      <c r="AW203" s="28">
        <f>I203*AO203</f>
        <v>0</v>
      </c>
      <c r="AX203" s="28">
        <f>I203*AP203</f>
        <v>0</v>
      </c>
      <c r="AY203" s="31" t="s">
        <v>1582</v>
      </c>
      <c r="AZ203" s="31" t="s">
        <v>1618</v>
      </c>
      <c r="BA203" s="27" t="s">
        <v>1628</v>
      </c>
      <c r="BC203" s="28">
        <f>AW203+AX203</f>
        <v>0</v>
      </c>
      <c r="BD203" s="28">
        <f>J203/(100-BE203)*100</f>
        <v>0</v>
      </c>
      <c r="BE203" s="28">
        <v>0</v>
      </c>
      <c r="BF203" s="28">
        <f>203</f>
        <v>203</v>
      </c>
      <c r="BH203" s="18">
        <f>I203*AO203</f>
        <v>0</v>
      </c>
      <c r="BI203" s="18">
        <f>I203*AP203</f>
        <v>0</v>
      </c>
      <c r="BJ203" s="18">
        <f>I203*J203</f>
        <v>0</v>
      </c>
      <c r="BK203" s="18" t="s">
        <v>1634</v>
      </c>
      <c r="BL203" s="28">
        <v>62</v>
      </c>
    </row>
    <row r="204" spans="1:15" ht="12.75">
      <c r="A204" s="3"/>
      <c r="D204" s="136" t="s">
        <v>728</v>
      </c>
      <c r="E204" s="137"/>
      <c r="F204" s="137"/>
      <c r="G204" s="137"/>
      <c r="H204" s="137"/>
      <c r="I204" s="137"/>
      <c r="J204" s="137"/>
      <c r="K204" s="137"/>
      <c r="L204" s="137"/>
      <c r="M204" s="137"/>
      <c r="N204" s="138"/>
      <c r="O204" s="3"/>
    </row>
    <row r="205" spans="1:15" ht="12.75">
      <c r="A205" s="89"/>
      <c r="B205" s="90"/>
      <c r="C205" s="90"/>
      <c r="D205" s="84" t="s">
        <v>737</v>
      </c>
      <c r="G205" s="91" t="s">
        <v>1375</v>
      </c>
      <c r="H205" s="90"/>
      <c r="I205" s="92">
        <v>23.835</v>
      </c>
      <c r="J205" s="90"/>
      <c r="K205" s="90"/>
      <c r="L205" s="90"/>
      <c r="M205" s="90"/>
      <c r="N205" s="79"/>
      <c r="O205" s="67"/>
    </row>
    <row r="206" spans="1:15" ht="12.75">
      <c r="A206" s="89"/>
      <c r="B206" s="90"/>
      <c r="C206" s="90"/>
      <c r="D206" s="84" t="s">
        <v>738</v>
      </c>
      <c r="G206" s="91" t="s">
        <v>1376</v>
      </c>
      <c r="H206" s="90"/>
      <c r="I206" s="92">
        <v>12.6425</v>
      </c>
      <c r="J206" s="90"/>
      <c r="K206" s="90"/>
      <c r="L206" s="90"/>
      <c r="M206" s="90"/>
      <c r="N206" s="79"/>
      <c r="O206" s="67"/>
    </row>
    <row r="207" spans="1:15" ht="12.75">
      <c r="A207" s="82"/>
      <c r="B207" s="83"/>
      <c r="C207" s="83"/>
      <c r="D207" s="85" t="s">
        <v>739</v>
      </c>
      <c r="G207" s="86" t="s">
        <v>1377</v>
      </c>
      <c r="H207" s="83"/>
      <c r="I207" s="88">
        <v>1.335</v>
      </c>
      <c r="J207" s="83"/>
      <c r="K207" s="83"/>
      <c r="L207" s="83"/>
      <c r="M207" s="83"/>
      <c r="N207" s="80"/>
      <c r="O207" s="67"/>
    </row>
    <row r="208" spans="1:15" ht="12.75">
      <c r="A208" s="3"/>
      <c r="C208" s="13" t="s">
        <v>302</v>
      </c>
      <c r="D208" s="145" t="s">
        <v>740</v>
      </c>
      <c r="E208" s="146"/>
      <c r="F208" s="146"/>
      <c r="G208" s="146"/>
      <c r="H208" s="146"/>
      <c r="I208" s="146"/>
      <c r="J208" s="146"/>
      <c r="K208" s="146"/>
      <c r="L208" s="146"/>
      <c r="M208" s="146"/>
      <c r="N208" s="147"/>
      <c r="O208" s="3"/>
    </row>
    <row r="209" spans="1:15" ht="12.75">
      <c r="A209" s="3"/>
      <c r="C209" s="12" t="s">
        <v>296</v>
      </c>
      <c r="D209" s="142" t="s">
        <v>622</v>
      </c>
      <c r="E209" s="143"/>
      <c r="F209" s="143"/>
      <c r="G209" s="143"/>
      <c r="H209" s="143"/>
      <c r="I209" s="143"/>
      <c r="J209" s="143"/>
      <c r="K209" s="143"/>
      <c r="L209" s="143"/>
      <c r="M209" s="143"/>
      <c r="N209" s="144"/>
      <c r="O209" s="3"/>
    </row>
    <row r="210" spans="1:64" ht="12.75">
      <c r="A210" s="74" t="s">
        <v>52</v>
      </c>
      <c r="B210" s="74" t="s">
        <v>283</v>
      </c>
      <c r="C210" s="74" t="s">
        <v>336</v>
      </c>
      <c r="D210" s="133" t="s">
        <v>741</v>
      </c>
      <c r="E210" s="134"/>
      <c r="F210" s="134"/>
      <c r="G210" s="135"/>
      <c r="H210" s="74" t="s">
        <v>1535</v>
      </c>
      <c r="I210" s="75">
        <v>7.865</v>
      </c>
      <c r="J210" s="75">
        <v>0</v>
      </c>
      <c r="K210" s="75">
        <f>I210*AO210</f>
        <v>0</v>
      </c>
      <c r="L210" s="75">
        <f>I210*AP210</f>
        <v>0</v>
      </c>
      <c r="M210" s="75">
        <f>I210*J210</f>
        <v>0</v>
      </c>
      <c r="N210" s="78" t="s">
        <v>1556</v>
      </c>
      <c r="O210" s="67"/>
      <c r="Z210" s="28">
        <f>IF(AQ210="5",BJ210,0)</f>
        <v>0</v>
      </c>
      <c r="AB210" s="28">
        <f>IF(AQ210="1",BH210,0)</f>
        <v>0</v>
      </c>
      <c r="AC210" s="28">
        <f>IF(AQ210="1",BI210,0)</f>
        <v>0</v>
      </c>
      <c r="AD210" s="28">
        <f>IF(AQ210="7",BH210,0)</f>
        <v>0</v>
      </c>
      <c r="AE210" s="28">
        <f>IF(AQ210="7",BI210,0)</f>
        <v>0</v>
      </c>
      <c r="AF210" s="28">
        <f>IF(AQ210="2",BH210,0)</f>
        <v>0</v>
      </c>
      <c r="AG210" s="28">
        <f>IF(AQ210="2",BI210,0)</f>
        <v>0</v>
      </c>
      <c r="AH210" s="28">
        <f>IF(AQ210="0",BJ210,0)</f>
        <v>0</v>
      </c>
      <c r="AI210" s="27" t="s">
        <v>283</v>
      </c>
      <c r="AJ210" s="18">
        <f>IF(AN210=0,M210,0)</f>
        <v>0</v>
      </c>
      <c r="AK210" s="18">
        <f>IF(AN210=15,M210,0)</f>
        <v>0</v>
      </c>
      <c r="AL210" s="18">
        <f>IF(AN210=21,M210,0)</f>
        <v>0</v>
      </c>
      <c r="AN210" s="28">
        <v>15</v>
      </c>
      <c r="AO210" s="28">
        <f>J210*0.752135627530364</f>
        <v>0</v>
      </c>
      <c r="AP210" s="28">
        <f>J210*(1-0.752135627530364)</f>
        <v>0</v>
      </c>
      <c r="AQ210" s="29" t="s">
        <v>7</v>
      </c>
      <c r="AV210" s="28">
        <f>AW210+AX210</f>
        <v>0</v>
      </c>
      <c r="AW210" s="28">
        <f>I210*AO210</f>
        <v>0</v>
      </c>
      <c r="AX210" s="28">
        <f>I210*AP210</f>
        <v>0</v>
      </c>
      <c r="AY210" s="31" t="s">
        <v>1582</v>
      </c>
      <c r="AZ210" s="31" t="s">
        <v>1618</v>
      </c>
      <c r="BA210" s="27" t="s">
        <v>1628</v>
      </c>
      <c r="BC210" s="28">
        <f>AW210+AX210</f>
        <v>0</v>
      </c>
      <c r="BD210" s="28">
        <f>J210/(100-BE210)*100</f>
        <v>0</v>
      </c>
      <c r="BE210" s="28">
        <v>0</v>
      </c>
      <c r="BF210" s="28">
        <f>210</f>
        <v>210</v>
      </c>
      <c r="BH210" s="18">
        <f>I210*AO210</f>
        <v>0</v>
      </c>
      <c r="BI210" s="18">
        <f>I210*AP210</f>
        <v>0</v>
      </c>
      <c r="BJ210" s="18">
        <f>I210*J210</f>
        <v>0</v>
      </c>
      <c r="BK210" s="18" t="s">
        <v>1634</v>
      </c>
      <c r="BL210" s="28">
        <v>62</v>
      </c>
    </row>
    <row r="211" spans="1:15" ht="12.75">
      <c r="A211" s="3"/>
      <c r="D211" s="136" t="s">
        <v>728</v>
      </c>
      <c r="E211" s="137"/>
      <c r="F211" s="137"/>
      <c r="G211" s="137"/>
      <c r="H211" s="137"/>
      <c r="I211" s="137"/>
      <c r="J211" s="137"/>
      <c r="K211" s="137"/>
      <c r="L211" s="137"/>
      <c r="M211" s="137"/>
      <c r="N211" s="138"/>
      <c r="O211" s="3"/>
    </row>
    <row r="212" spans="1:15" ht="12.75">
      <c r="A212" s="89"/>
      <c r="B212" s="90"/>
      <c r="C212" s="90"/>
      <c r="D212" s="84" t="s">
        <v>742</v>
      </c>
      <c r="G212" s="91" t="s">
        <v>1378</v>
      </c>
      <c r="H212" s="90"/>
      <c r="I212" s="92">
        <v>9.515</v>
      </c>
      <c r="J212" s="90"/>
      <c r="K212" s="90"/>
      <c r="L212" s="90"/>
      <c r="M212" s="90"/>
      <c r="N212" s="79"/>
      <c r="O212" s="67"/>
    </row>
    <row r="213" spans="1:15" ht="12.75">
      <c r="A213" s="82"/>
      <c r="B213" s="83"/>
      <c r="C213" s="83"/>
      <c r="D213" s="85" t="s">
        <v>743</v>
      </c>
      <c r="G213" s="86" t="s">
        <v>1379</v>
      </c>
      <c r="H213" s="83"/>
      <c r="I213" s="88">
        <v>-1.65</v>
      </c>
      <c r="J213" s="83"/>
      <c r="K213" s="83"/>
      <c r="L213" s="83"/>
      <c r="M213" s="83"/>
      <c r="N213" s="80"/>
      <c r="O213" s="67"/>
    </row>
    <row r="214" spans="1:15" ht="12.75">
      <c r="A214" s="3"/>
      <c r="C214" s="13" t="s">
        <v>302</v>
      </c>
      <c r="D214" s="145" t="s">
        <v>744</v>
      </c>
      <c r="E214" s="146"/>
      <c r="F214" s="146"/>
      <c r="G214" s="146"/>
      <c r="H214" s="146"/>
      <c r="I214" s="146"/>
      <c r="J214" s="146"/>
      <c r="K214" s="146"/>
      <c r="L214" s="146"/>
      <c r="M214" s="146"/>
      <c r="N214" s="147"/>
      <c r="O214" s="3"/>
    </row>
    <row r="215" spans="1:15" ht="12.75">
      <c r="A215" s="3"/>
      <c r="C215" s="12" t="s">
        <v>296</v>
      </c>
      <c r="D215" s="142" t="s">
        <v>622</v>
      </c>
      <c r="E215" s="143"/>
      <c r="F215" s="143"/>
      <c r="G215" s="143"/>
      <c r="H215" s="143"/>
      <c r="I215" s="143"/>
      <c r="J215" s="143"/>
      <c r="K215" s="143"/>
      <c r="L215" s="143"/>
      <c r="M215" s="143"/>
      <c r="N215" s="144"/>
      <c r="O215" s="3"/>
    </row>
    <row r="216" spans="1:64" ht="12.75">
      <c r="A216" s="74" t="s">
        <v>53</v>
      </c>
      <c r="B216" s="74" t="s">
        <v>283</v>
      </c>
      <c r="C216" s="74" t="s">
        <v>337</v>
      </c>
      <c r="D216" s="133" t="s">
        <v>745</v>
      </c>
      <c r="E216" s="134"/>
      <c r="F216" s="134"/>
      <c r="G216" s="135"/>
      <c r="H216" s="74" t="s">
        <v>1535</v>
      </c>
      <c r="I216" s="75">
        <v>1.65</v>
      </c>
      <c r="J216" s="75">
        <v>0</v>
      </c>
      <c r="K216" s="75">
        <f>I216*AO216</f>
        <v>0</v>
      </c>
      <c r="L216" s="75">
        <f>I216*AP216</f>
        <v>0</v>
      </c>
      <c r="M216" s="75">
        <f>I216*J216</f>
        <v>0</v>
      </c>
      <c r="N216" s="78" t="s">
        <v>1556</v>
      </c>
      <c r="O216" s="67"/>
      <c r="Z216" s="28">
        <f>IF(AQ216="5",BJ216,0)</f>
        <v>0</v>
      </c>
      <c r="AB216" s="28">
        <f>IF(AQ216="1",BH216,0)</f>
        <v>0</v>
      </c>
      <c r="AC216" s="28">
        <f>IF(AQ216="1",BI216,0)</f>
        <v>0</v>
      </c>
      <c r="AD216" s="28">
        <f>IF(AQ216="7",BH216,0)</f>
        <v>0</v>
      </c>
      <c r="AE216" s="28">
        <f>IF(AQ216="7",BI216,0)</f>
        <v>0</v>
      </c>
      <c r="AF216" s="28">
        <f>IF(AQ216="2",BH216,0)</f>
        <v>0</v>
      </c>
      <c r="AG216" s="28">
        <f>IF(AQ216="2",BI216,0)</f>
        <v>0</v>
      </c>
      <c r="AH216" s="28">
        <f>IF(AQ216="0",BJ216,0)</f>
        <v>0</v>
      </c>
      <c r="AI216" s="27" t="s">
        <v>283</v>
      </c>
      <c r="AJ216" s="18">
        <f>IF(AN216=0,M216,0)</f>
        <v>0</v>
      </c>
      <c r="AK216" s="18">
        <f>IF(AN216=15,M216,0)</f>
        <v>0</v>
      </c>
      <c r="AL216" s="18">
        <f>IF(AN216=21,M216,0)</f>
        <v>0</v>
      </c>
      <c r="AN216" s="28">
        <v>15</v>
      </c>
      <c r="AO216" s="28">
        <f>J216*0.654466882067851</f>
        <v>0</v>
      </c>
      <c r="AP216" s="28">
        <f>J216*(1-0.654466882067851)</f>
        <v>0</v>
      </c>
      <c r="AQ216" s="29" t="s">
        <v>7</v>
      </c>
      <c r="AV216" s="28">
        <f>AW216+AX216</f>
        <v>0</v>
      </c>
      <c r="AW216" s="28">
        <f>I216*AO216</f>
        <v>0</v>
      </c>
      <c r="AX216" s="28">
        <f>I216*AP216</f>
        <v>0</v>
      </c>
      <c r="AY216" s="31" t="s">
        <v>1582</v>
      </c>
      <c r="AZ216" s="31" t="s">
        <v>1618</v>
      </c>
      <c r="BA216" s="27" t="s">
        <v>1628</v>
      </c>
      <c r="BC216" s="28">
        <f>AW216+AX216</f>
        <v>0</v>
      </c>
      <c r="BD216" s="28">
        <f>J216/(100-BE216)*100</f>
        <v>0</v>
      </c>
      <c r="BE216" s="28">
        <v>0</v>
      </c>
      <c r="BF216" s="28">
        <f>216</f>
        <v>216</v>
      </c>
      <c r="BH216" s="18">
        <f>I216*AO216</f>
        <v>0</v>
      </c>
      <c r="BI216" s="18">
        <f>I216*AP216</f>
        <v>0</v>
      </c>
      <c r="BJ216" s="18">
        <f>I216*J216</f>
        <v>0</v>
      </c>
      <c r="BK216" s="18" t="s">
        <v>1634</v>
      </c>
      <c r="BL216" s="28">
        <v>62</v>
      </c>
    </row>
    <row r="217" spans="1:15" ht="12.75">
      <c r="A217" s="3"/>
      <c r="D217" s="136" t="s">
        <v>728</v>
      </c>
      <c r="E217" s="137"/>
      <c r="F217" s="137"/>
      <c r="G217" s="137"/>
      <c r="H217" s="137"/>
      <c r="I217" s="137"/>
      <c r="J217" s="137"/>
      <c r="K217" s="137"/>
      <c r="L217" s="137"/>
      <c r="M217" s="137"/>
      <c r="N217" s="138"/>
      <c r="O217" s="3"/>
    </row>
    <row r="218" spans="1:15" ht="12.75">
      <c r="A218" s="82"/>
      <c r="B218" s="83"/>
      <c r="C218" s="83"/>
      <c r="D218" s="85" t="s">
        <v>746</v>
      </c>
      <c r="G218" s="86" t="s">
        <v>1378</v>
      </c>
      <c r="H218" s="83"/>
      <c r="I218" s="88">
        <v>1.65</v>
      </c>
      <c r="J218" s="83"/>
      <c r="K218" s="83"/>
      <c r="L218" s="83"/>
      <c r="M218" s="83"/>
      <c r="N218" s="80"/>
      <c r="O218" s="67"/>
    </row>
    <row r="219" spans="1:15" ht="12.75">
      <c r="A219" s="3"/>
      <c r="C219" s="13" t="s">
        <v>302</v>
      </c>
      <c r="D219" s="145" t="s">
        <v>747</v>
      </c>
      <c r="E219" s="146"/>
      <c r="F219" s="146"/>
      <c r="G219" s="146"/>
      <c r="H219" s="146"/>
      <c r="I219" s="146"/>
      <c r="J219" s="146"/>
      <c r="K219" s="146"/>
      <c r="L219" s="146"/>
      <c r="M219" s="146"/>
      <c r="N219" s="147"/>
      <c r="O219" s="3"/>
    </row>
    <row r="220" spans="1:15" ht="12.75">
      <c r="A220" s="3"/>
      <c r="C220" s="12" t="s">
        <v>296</v>
      </c>
      <c r="D220" s="142" t="s">
        <v>622</v>
      </c>
      <c r="E220" s="143"/>
      <c r="F220" s="143"/>
      <c r="G220" s="143"/>
      <c r="H220" s="143"/>
      <c r="I220" s="143"/>
      <c r="J220" s="143"/>
      <c r="K220" s="143"/>
      <c r="L220" s="143"/>
      <c r="M220" s="143"/>
      <c r="N220" s="144"/>
      <c r="O220" s="3"/>
    </row>
    <row r="221" spans="1:64" ht="12.75">
      <c r="A221" s="74" t="s">
        <v>54</v>
      </c>
      <c r="B221" s="74" t="s">
        <v>283</v>
      </c>
      <c r="C221" s="74" t="s">
        <v>338</v>
      </c>
      <c r="D221" s="133" t="s">
        <v>748</v>
      </c>
      <c r="E221" s="134"/>
      <c r="F221" s="134"/>
      <c r="G221" s="135"/>
      <c r="H221" s="74" t="s">
        <v>1535</v>
      </c>
      <c r="I221" s="75">
        <v>33.14705</v>
      </c>
      <c r="J221" s="75">
        <v>0</v>
      </c>
      <c r="K221" s="75">
        <f>I221*AO221</f>
        <v>0</v>
      </c>
      <c r="L221" s="75">
        <f>I221*AP221</f>
        <v>0</v>
      </c>
      <c r="M221" s="75">
        <f>I221*J221</f>
        <v>0</v>
      </c>
      <c r="N221" s="78" t="s">
        <v>1556</v>
      </c>
      <c r="O221" s="67"/>
      <c r="Z221" s="28">
        <f>IF(AQ221="5",BJ221,0)</f>
        <v>0</v>
      </c>
      <c r="AB221" s="28">
        <f>IF(AQ221="1",BH221,0)</f>
        <v>0</v>
      </c>
      <c r="AC221" s="28">
        <f>IF(AQ221="1",BI221,0)</f>
        <v>0</v>
      </c>
      <c r="AD221" s="28">
        <f>IF(AQ221="7",BH221,0)</f>
        <v>0</v>
      </c>
      <c r="AE221" s="28">
        <f>IF(AQ221="7",BI221,0)</f>
        <v>0</v>
      </c>
      <c r="AF221" s="28">
        <f>IF(AQ221="2",BH221,0)</f>
        <v>0</v>
      </c>
      <c r="AG221" s="28">
        <f>IF(AQ221="2",BI221,0)</f>
        <v>0</v>
      </c>
      <c r="AH221" s="28">
        <f>IF(AQ221="0",BJ221,0)</f>
        <v>0</v>
      </c>
      <c r="AI221" s="27" t="s">
        <v>283</v>
      </c>
      <c r="AJ221" s="18">
        <f>IF(AN221=0,M221,0)</f>
        <v>0</v>
      </c>
      <c r="AK221" s="18">
        <f>IF(AN221=15,M221,0)</f>
        <v>0</v>
      </c>
      <c r="AL221" s="18">
        <f>IF(AN221=21,M221,0)</f>
        <v>0</v>
      </c>
      <c r="AN221" s="28">
        <v>15</v>
      </c>
      <c r="AO221" s="28">
        <f>J221*0.469634163619761</f>
        <v>0</v>
      </c>
      <c r="AP221" s="28">
        <f>J221*(1-0.469634163619761)</f>
        <v>0</v>
      </c>
      <c r="AQ221" s="29" t="s">
        <v>7</v>
      </c>
      <c r="AV221" s="28">
        <f>AW221+AX221</f>
        <v>0</v>
      </c>
      <c r="AW221" s="28">
        <f>I221*AO221</f>
        <v>0</v>
      </c>
      <c r="AX221" s="28">
        <f>I221*AP221</f>
        <v>0</v>
      </c>
      <c r="AY221" s="31" t="s">
        <v>1582</v>
      </c>
      <c r="AZ221" s="31" t="s">
        <v>1618</v>
      </c>
      <c r="BA221" s="27" t="s">
        <v>1628</v>
      </c>
      <c r="BC221" s="28">
        <f>AW221+AX221</f>
        <v>0</v>
      </c>
      <c r="BD221" s="28">
        <f>J221/(100-BE221)*100</f>
        <v>0</v>
      </c>
      <c r="BE221" s="28">
        <v>0</v>
      </c>
      <c r="BF221" s="28">
        <f>221</f>
        <v>221</v>
      </c>
      <c r="BH221" s="18">
        <f>I221*AO221</f>
        <v>0</v>
      </c>
      <c r="BI221" s="18">
        <f>I221*AP221</f>
        <v>0</v>
      </c>
      <c r="BJ221" s="18">
        <f>I221*J221</f>
        <v>0</v>
      </c>
      <c r="BK221" s="18" t="s">
        <v>1634</v>
      </c>
      <c r="BL221" s="28">
        <v>62</v>
      </c>
    </row>
    <row r="222" spans="1:15" ht="12.75">
      <c r="A222" s="3"/>
      <c r="D222" s="136" t="s">
        <v>728</v>
      </c>
      <c r="E222" s="137"/>
      <c r="F222" s="137"/>
      <c r="G222" s="137"/>
      <c r="H222" s="137"/>
      <c r="I222" s="137"/>
      <c r="J222" s="137"/>
      <c r="K222" s="137"/>
      <c r="L222" s="137"/>
      <c r="M222" s="137"/>
      <c r="N222" s="138"/>
      <c r="O222" s="3"/>
    </row>
    <row r="223" spans="1:15" ht="12.75">
      <c r="A223" s="89"/>
      <c r="B223" s="90"/>
      <c r="C223" s="90"/>
      <c r="D223" s="84" t="s">
        <v>749</v>
      </c>
      <c r="G223" s="91" t="s">
        <v>1380</v>
      </c>
      <c r="H223" s="90"/>
      <c r="I223" s="92">
        <v>21.00065</v>
      </c>
      <c r="J223" s="90"/>
      <c r="K223" s="90"/>
      <c r="L223" s="90"/>
      <c r="M223" s="90"/>
      <c r="N223" s="79"/>
      <c r="O223" s="67"/>
    </row>
    <row r="224" spans="1:15" ht="12.75">
      <c r="A224" s="82"/>
      <c r="B224" s="83"/>
      <c r="C224" s="83"/>
      <c r="D224" s="85" t="s">
        <v>750</v>
      </c>
      <c r="G224" s="86" t="s">
        <v>1381</v>
      </c>
      <c r="H224" s="83"/>
      <c r="I224" s="88">
        <v>12.1464</v>
      </c>
      <c r="J224" s="83"/>
      <c r="K224" s="83"/>
      <c r="L224" s="83"/>
      <c r="M224" s="83"/>
      <c r="N224" s="80"/>
      <c r="O224" s="67"/>
    </row>
    <row r="225" spans="1:15" ht="12.75">
      <c r="A225" s="3"/>
      <c r="C225" s="13" t="s">
        <v>302</v>
      </c>
      <c r="D225" s="145" t="s">
        <v>751</v>
      </c>
      <c r="E225" s="146"/>
      <c r="F225" s="146"/>
      <c r="G225" s="146"/>
      <c r="H225" s="146"/>
      <c r="I225" s="146"/>
      <c r="J225" s="146"/>
      <c r="K225" s="146"/>
      <c r="L225" s="146"/>
      <c r="M225" s="146"/>
      <c r="N225" s="147"/>
      <c r="O225" s="3"/>
    </row>
    <row r="226" spans="1:15" ht="12.75">
      <c r="A226" s="3"/>
      <c r="C226" s="12" t="s">
        <v>296</v>
      </c>
      <c r="D226" s="142" t="s">
        <v>622</v>
      </c>
      <c r="E226" s="143"/>
      <c r="F226" s="143"/>
      <c r="G226" s="143"/>
      <c r="H226" s="143"/>
      <c r="I226" s="143"/>
      <c r="J226" s="143"/>
      <c r="K226" s="143"/>
      <c r="L226" s="143"/>
      <c r="M226" s="143"/>
      <c r="N226" s="144"/>
      <c r="O226" s="3"/>
    </row>
    <row r="227" spans="1:64" ht="12.75">
      <c r="A227" s="74" t="s">
        <v>55</v>
      </c>
      <c r="B227" s="74" t="s">
        <v>283</v>
      </c>
      <c r="C227" s="74" t="s">
        <v>339</v>
      </c>
      <c r="D227" s="133" t="s">
        <v>752</v>
      </c>
      <c r="E227" s="134"/>
      <c r="F227" s="134"/>
      <c r="G227" s="135"/>
      <c r="H227" s="74" t="s">
        <v>1535</v>
      </c>
      <c r="I227" s="75">
        <v>9.8</v>
      </c>
      <c r="J227" s="75">
        <v>0</v>
      </c>
      <c r="K227" s="75">
        <f>I227*AO227</f>
        <v>0</v>
      </c>
      <c r="L227" s="75">
        <f>I227*AP227</f>
        <v>0</v>
      </c>
      <c r="M227" s="75">
        <f>I227*J227</f>
        <v>0</v>
      </c>
      <c r="N227" s="78" t="s">
        <v>1556</v>
      </c>
      <c r="O227" s="67"/>
      <c r="Z227" s="28">
        <f>IF(AQ227="5",BJ227,0)</f>
        <v>0</v>
      </c>
      <c r="AB227" s="28">
        <f>IF(AQ227="1",BH227,0)</f>
        <v>0</v>
      </c>
      <c r="AC227" s="28">
        <f>IF(AQ227="1",BI227,0)</f>
        <v>0</v>
      </c>
      <c r="AD227" s="28">
        <f>IF(AQ227="7",BH227,0)</f>
        <v>0</v>
      </c>
      <c r="AE227" s="28">
        <f>IF(AQ227="7",BI227,0)</f>
        <v>0</v>
      </c>
      <c r="AF227" s="28">
        <f>IF(AQ227="2",BH227,0)</f>
        <v>0</v>
      </c>
      <c r="AG227" s="28">
        <f>IF(AQ227="2",BI227,0)</f>
        <v>0</v>
      </c>
      <c r="AH227" s="28">
        <f>IF(AQ227="0",BJ227,0)</f>
        <v>0</v>
      </c>
      <c r="AI227" s="27" t="s">
        <v>283</v>
      </c>
      <c r="AJ227" s="18">
        <f>IF(AN227=0,M227,0)</f>
        <v>0</v>
      </c>
      <c r="AK227" s="18">
        <f>IF(AN227=15,M227,0)</f>
        <v>0</v>
      </c>
      <c r="AL227" s="18">
        <f>IF(AN227=21,M227,0)</f>
        <v>0</v>
      </c>
      <c r="AN227" s="28">
        <v>15</v>
      </c>
      <c r="AO227" s="28">
        <f>J227*0.788658008658009</f>
        <v>0</v>
      </c>
      <c r="AP227" s="28">
        <f>J227*(1-0.788658008658009)</f>
        <v>0</v>
      </c>
      <c r="AQ227" s="29" t="s">
        <v>7</v>
      </c>
      <c r="AV227" s="28">
        <f>AW227+AX227</f>
        <v>0</v>
      </c>
      <c r="AW227" s="28">
        <f>I227*AO227</f>
        <v>0</v>
      </c>
      <c r="AX227" s="28">
        <f>I227*AP227</f>
        <v>0</v>
      </c>
      <c r="AY227" s="31" t="s">
        <v>1582</v>
      </c>
      <c r="AZ227" s="31" t="s">
        <v>1618</v>
      </c>
      <c r="BA227" s="27" t="s">
        <v>1628</v>
      </c>
      <c r="BC227" s="28">
        <f>AW227+AX227</f>
        <v>0</v>
      </c>
      <c r="BD227" s="28">
        <f>J227/(100-BE227)*100</f>
        <v>0</v>
      </c>
      <c r="BE227" s="28">
        <v>0</v>
      </c>
      <c r="BF227" s="28">
        <f>227</f>
        <v>227</v>
      </c>
      <c r="BH227" s="18">
        <f>I227*AO227</f>
        <v>0</v>
      </c>
      <c r="BI227" s="18">
        <f>I227*AP227</f>
        <v>0</v>
      </c>
      <c r="BJ227" s="18">
        <f>I227*J227</f>
        <v>0</v>
      </c>
      <c r="BK227" s="18" t="s">
        <v>1634</v>
      </c>
      <c r="BL227" s="28">
        <v>62</v>
      </c>
    </row>
    <row r="228" spans="1:15" ht="12.75">
      <c r="A228" s="3"/>
      <c r="D228" s="136" t="s">
        <v>728</v>
      </c>
      <c r="E228" s="137"/>
      <c r="F228" s="137"/>
      <c r="G228" s="137"/>
      <c r="H228" s="137"/>
      <c r="I228" s="137"/>
      <c r="J228" s="137"/>
      <c r="K228" s="137"/>
      <c r="L228" s="137"/>
      <c r="M228" s="137"/>
      <c r="N228" s="138"/>
      <c r="O228" s="3"/>
    </row>
    <row r="229" spans="1:15" ht="12.75">
      <c r="A229" s="82"/>
      <c r="B229" s="83"/>
      <c r="C229" s="83"/>
      <c r="D229" s="85" t="s">
        <v>700</v>
      </c>
      <c r="G229" s="86" t="s">
        <v>1349</v>
      </c>
      <c r="H229" s="83"/>
      <c r="I229" s="88">
        <v>9.8</v>
      </c>
      <c r="J229" s="83"/>
      <c r="K229" s="83"/>
      <c r="L229" s="83"/>
      <c r="M229" s="83"/>
      <c r="N229" s="80"/>
      <c r="O229" s="67"/>
    </row>
    <row r="230" spans="1:15" ht="12.75">
      <c r="A230" s="3"/>
      <c r="C230" s="13" t="s">
        <v>302</v>
      </c>
      <c r="D230" s="145" t="s">
        <v>753</v>
      </c>
      <c r="E230" s="146"/>
      <c r="F230" s="146"/>
      <c r="G230" s="146"/>
      <c r="H230" s="146"/>
      <c r="I230" s="146"/>
      <c r="J230" s="146"/>
      <c r="K230" s="146"/>
      <c r="L230" s="146"/>
      <c r="M230" s="146"/>
      <c r="N230" s="147"/>
      <c r="O230" s="3"/>
    </row>
    <row r="231" spans="1:15" ht="12.75">
      <c r="A231" s="3"/>
      <c r="C231" s="12" t="s">
        <v>296</v>
      </c>
      <c r="D231" s="142" t="s">
        <v>622</v>
      </c>
      <c r="E231" s="143"/>
      <c r="F231" s="143"/>
      <c r="G231" s="143"/>
      <c r="H231" s="143"/>
      <c r="I231" s="143"/>
      <c r="J231" s="143"/>
      <c r="K231" s="143"/>
      <c r="L231" s="143"/>
      <c r="M231" s="143"/>
      <c r="N231" s="144"/>
      <c r="O231" s="3"/>
    </row>
    <row r="232" spans="1:64" ht="12.75">
      <c r="A232" s="81" t="s">
        <v>56</v>
      </c>
      <c r="B232" s="81" t="s">
        <v>283</v>
      </c>
      <c r="C232" s="81" t="s">
        <v>340</v>
      </c>
      <c r="D232" s="139" t="s">
        <v>754</v>
      </c>
      <c r="E232" s="134"/>
      <c r="F232" s="134"/>
      <c r="G232" s="140"/>
      <c r="H232" s="81" t="s">
        <v>1535</v>
      </c>
      <c r="I232" s="87">
        <v>18.76</v>
      </c>
      <c r="J232" s="87">
        <v>0</v>
      </c>
      <c r="K232" s="87">
        <f>I232*AO232</f>
        <v>0</v>
      </c>
      <c r="L232" s="87">
        <f>I232*AP232</f>
        <v>0</v>
      </c>
      <c r="M232" s="87">
        <f>I232*J232</f>
        <v>0</v>
      </c>
      <c r="N232" s="77" t="s">
        <v>1556</v>
      </c>
      <c r="O232" s="67"/>
      <c r="Z232" s="28">
        <f>IF(AQ232="5",BJ232,0)</f>
        <v>0</v>
      </c>
      <c r="AB232" s="28">
        <f>IF(AQ232="1",BH232,0)</f>
        <v>0</v>
      </c>
      <c r="AC232" s="28">
        <f>IF(AQ232="1",BI232,0)</f>
        <v>0</v>
      </c>
      <c r="AD232" s="28">
        <f>IF(AQ232="7",BH232,0)</f>
        <v>0</v>
      </c>
      <c r="AE232" s="28">
        <f>IF(AQ232="7",BI232,0)</f>
        <v>0</v>
      </c>
      <c r="AF232" s="28">
        <f>IF(AQ232="2",BH232,0)</f>
        <v>0</v>
      </c>
      <c r="AG232" s="28">
        <f>IF(AQ232="2",BI232,0)</f>
        <v>0</v>
      </c>
      <c r="AH232" s="28">
        <f>IF(AQ232="0",BJ232,0)</f>
        <v>0</v>
      </c>
      <c r="AI232" s="27" t="s">
        <v>283</v>
      </c>
      <c r="AJ232" s="18">
        <f>IF(AN232=0,M232,0)</f>
        <v>0</v>
      </c>
      <c r="AK232" s="18">
        <f>IF(AN232=15,M232,0)</f>
        <v>0</v>
      </c>
      <c r="AL232" s="18">
        <f>IF(AN232=21,M232,0)</f>
        <v>0</v>
      </c>
      <c r="AN232" s="28">
        <v>15</v>
      </c>
      <c r="AO232" s="28">
        <f>J232*0</f>
        <v>0</v>
      </c>
      <c r="AP232" s="28">
        <f>J232*(1-0)</f>
        <v>0</v>
      </c>
      <c r="AQ232" s="29" t="s">
        <v>7</v>
      </c>
      <c r="AV232" s="28">
        <f>AW232+AX232</f>
        <v>0</v>
      </c>
      <c r="AW232" s="28">
        <f>I232*AO232</f>
        <v>0</v>
      </c>
      <c r="AX232" s="28">
        <f>I232*AP232</f>
        <v>0</v>
      </c>
      <c r="AY232" s="31" t="s">
        <v>1582</v>
      </c>
      <c r="AZ232" s="31" t="s">
        <v>1618</v>
      </c>
      <c r="BA232" s="27" t="s">
        <v>1628</v>
      </c>
      <c r="BC232" s="28">
        <f>AW232+AX232</f>
        <v>0</v>
      </c>
      <c r="BD232" s="28">
        <f>J232/(100-BE232)*100</f>
        <v>0</v>
      </c>
      <c r="BE232" s="28">
        <v>0</v>
      </c>
      <c r="BF232" s="28">
        <f>232</f>
        <v>232</v>
      </c>
      <c r="BH232" s="18">
        <f>I232*AO232</f>
        <v>0</v>
      </c>
      <c r="BI232" s="18">
        <f>I232*AP232</f>
        <v>0</v>
      </c>
      <c r="BJ232" s="18">
        <f>I232*J232</f>
        <v>0</v>
      </c>
      <c r="BK232" s="18" t="s">
        <v>1634</v>
      </c>
      <c r="BL232" s="28">
        <v>62</v>
      </c>
    </row>
    <row r="233" spans="1:15" ht="12.75">
      <c r="A233" s="89"/>
      <c r="B233" s="90"/>
      <c r="C233" s="90"/>
      <c r="D233" s="84" t="s">
        <v>755</v>
      </c>
      <c r="G233" s="91" t="s">
        <v>1381</v>
      </c>
      <c r="H233" s="90"/>
      <c r="I233" s="92">
        <v>8.96</v>
      </c>
      <c r="J233" s="90"/>
      <c r="K233" s="90"/>
      <c r="L233" s="90"/>
      <c r="M233" s="90"/>
      <c r="N233" s="79"/>
      <c r="O233" s="67"/>
    </row>
    <row r="234" spans="1:15" ht="12.75">
      <c r="A234" s="82"/>
      <c r="B234" s="83"/>
      <c r="C234" s="83"/>
      <c r="D234" s="85" t="s">
        <v>700</v>
      </c>
      <c r="G234" s="86" t="s">
        <v>1349</v>
      </c>
      <c r="H234" s="83"/>
      <c r="I234" s="88">
        <v>9.8</v>
      </c>
      <c r="J234" s="83"/>
      <c r="K234" s="83"/>
      <c r="L234" s="83"/>
      <c r="M234" s="83"/>
      <c r="N234" s="80"/>
      <c r="O234" s="67"/>
    </row>
    <row r="235" spans="1:15" ht="12.75">
      <c r="A235" s="3"/>
      <c r="C235" s="12" t="s">
        <v>296</v>
      </c>
      <c r="D235" s="142" t="s">
        <v>622</v>
      </c>
      <c r="E235" s="143"/>
      <c r="F235" s="143"/>
      <c r="G235" s="143"/>
      <c r="H235" s="143"/>
      <c r="I235" s="143"/>
      <c r="J235" s="143"/>
      <c r="K235" s="143"/>
      <c r="L235" s="143"/>
      <c r="M235" s="143"/>
      <c r="N235" s="144"/>
      <c r="O235" s="3"/>
    </row>
    <row r="236" spans="1:64" ht="12.75">
      <c r="A236" s="74" t="s">
        <v>57</v>
      </c>
      <c r="B236" s="74" t="s">
        <v>283</v>
      </c>
      <c r="C236" s="74" t="s">
        <v>341</v>
      </c>
      <c r="D236" s="133" t="s">
        <v>756</v>
      </c>
      <c r="E236" s="134"/>
      <c r="F236" s="134"/>
      <c r="G236" s="135"/>
      <c r="H236" s="74" t="s">
        <v>1535</v>
      </c>
      <c r="I236" s="75">
        <v>58.7</v>
      </c>
      <c r="J236" s="75">
        <v>0</v>
      </c>
      <c r="K236" s="75">
        <f>I236*AO236</f>
        <v>0</v>
      </c>
      <c r="L236" s="75">
        <f>I236*AP236</f>
        <v>0</v>
      </c>
      <c r="M236" s="75">
        <f>I236*J236</f>
        <v>0</v>
      </c>
      <c r="N236" s="78" t="s">
        <v>1556</v>
      </c>
      <c r="O236" s="67"/>
      <c r="Z236" s="28">
        <f>IF(AQ236="5",BJ236,0)</f>
        <v>0</v>
      </c>
      <c r="AB236" s="28">
        <f>IF(AQ236="1",BH236,0)</f>
        <v>0</v>
      </c>
      <c r="AC236" s="28">
        <f>IF(AQ236="1",BI236,0)</f>
        <v>0</v>
      </c>
      <c r="AD236" s="28">
        <f>IF(AQ236="7",BH236,0)</f>
        <v>0</v>
      </c>
      <c r="AE236" s="28">
        <f>IF(AQ236="7",BI236,0)</f>
        <v>0</v>
      </c>
      <c r="AF236" s="28">
        <f>IF(AQ236="2",BH236,0)</f>
        <v>0</v>
      </c>
      <c r="AG236" s="28">
        <f>IF(AQ236="2",BI236,0)</f>
        <v>0</v>
      </c>
      <c r="AH236" s="28">
        <f>IF(AQ236="0",BJ236,0)</f>
        <v>0</v>
      </c>
      <c r="AI236" s="27" t="s">
        <v>283</v>
      </c>
      <c r="AJ236" s="18">
        <f>IF(AN236=0,M236,0)</f>
        <v>0</v>
      </c>
      <c r="AK236" s="18">
        <f>IF(AN236=15,M236,0)</f>
        <v>0</v>
      </c>
      <c r="AL236" s="18">
        <f>IF(AN236=21,M236,0)</f>
        <v>0</v>
      </c>
      <c r="AN236" s="28">
        <v>15</v>
      </c>
      <c r="AO236" s="28">
        <f>J236*0.504969623329283</f>
        <v>0</v>
      </c>
      <c r="AP236" s="28">
        <f>J236*(1-0.504969623329283)</f>
        <v>0</v>
      </c>
      <c r="AQ236" s="29" t="s">
        <v>7</v>
      </c>
      <c r="AV236" s="28">
        <f>AW236+AX236</f>
        <v>0</v>
      </c>
      <c r="AW236" s="28">
        <f>I236*AO236</f>
        <v>0</v>
      </c>
      <c r="AX236" s="28">
        <f>I236*AP236</f>
        <v>0</v>
      </c>
      <c r="AY236" s="31" t="s">
        <v>1582</v>
      </c>
      <c r="AZ236" s="31" t="s">
        <v>1618</v>
      </c>
      <c r="BA236" s="27" t="s">
        <v>1628</v>
      </c>
      <c r="BC236" s="28">
        <f>AW236+AX236</f>
        <v>0</v>
      </c>
      <c r="BD236" s="28">
        <f>J236/(100-BE236)*100</f>
        <v>0</v>
      </c>
      <c r="BE236" s="28">
        <v>0</v>
      </c>
      <c r="BF236" s="28">
        <f>236</f>
        <v>236</v>
      </c>
      <c r="BH236" s="18">
        <f>I236*AO236</f>
        <v>0</v>
      </c>
      <c r="BI236" s="18">
        <f>I236*AP236</f>
        <v>0</v>
      </c>
      <c r="BJ236" s="18">
        <f>I236*J236</f>
        <v>0</v>
      </c>
      <c r="BK236" s="18" t="s">
        <v>1634</v>
      </c>
      <c r="BL236" s="28">
        <v>62</v>
      </c>
    </row>
    <row r="237" spans="1:15" ht="12.75">
      <c r="A237" s="3"/>
      <c r="D237" s="136" t="s">
        <v>757</v>
      </c>
      <c r="E237" s="137"/>
      <c r="F237" s="137"/>
      <c r="G237" s="137"/>
      <c r="H237" s="137"/>
      <c r="I237" s="137"/>
      <c r="J237" s="137"/>
      <c r="K237" s="137"/>
      <c r="L237" s="137"/>
      <c r="M237" s="137"/>
      <c r="N237" s="138"/>
      <c r="O237" s="3"/>
    </row>
    <row r="238" spans="1:15" ht="12.75">
      <c r="A238" s="82"/>
      <c r="B238" s="83"/>
      <c r="C238" s="83"/>
      <c r="D238" s="85" t="s">
        <v>758</v>
      </c>
      <c r="G238" s="86" t="s">
        <v>1382</v>
      </c>
      <c r="H238" s="83"/>
      <c r="I238" s="88">
        <v>58.7</v>
      </c>
      <c r="J238" s="83"/>
      <c r="K238" s="83"/>
      <c r="L238" s="83"/>
      <c r="M238" s="83"/>
      <c r="N238" s="80"/>
      <c r="O238" s="67"/>
    </row>
    <row r="239" spans="1:15" ht="12.75">
      <c r="A239" s="3"/>
      <c r="C239" s="13" t="s">
        <v>302</v>
      </c>
      <c r="D239" s="145" t="s">
        <v>759</v>
      </c>
      <c r="E239" s="146"/>
      <c r="F239" s="146"/>
      <c r="G239" s="146"/>
      <c r="H239" s="146"/>
      <c r="I239" s="146"/>
      <c r="J239" s="146"/>
      <c r="K239" s="146"/>
      <c r="L239" s="146"/>
      <c r="M239" s="146"/>
      <c r="N239" s="147"/>
      <c r="O239" s="3"/>
    </row>
    <row r="240" spans="1:15" ht="12.75">
      <c r="A240" s="3"/>
      <c r="C240" s="12" t="s">
        <v>296</v>
      </c>
      <c r="D240" s="142" t="s">
        <v>622</v>
      </c>
      <c r="E240" s="143"/>
      <c r="F240" s="143"/>
      <c r="G240" s="143"/>
      <c r="H240" s="143"/>
      <c r="I240" s="143"/>
      <c r="J240" s="143"/>
      <c r="K240" s="143"/>
      <c r="L240" s="143"/>
      <c r="M240" s="143"/>
      <c r="N240" s="144"/>
      <c r="O240" s="3"/>
    </row>
    <row r="241" spans="1:64" ht="12.75">
      <c r="A241" s="81" t="s">
        <v>58</v>
      </c>
      <c r="B241" s="81" t="s">
        <v>283</v>
      </c>
      <c r="C241" s="81" t="s">
        <v>342</v>
      </c>
      <c r="D241" s="139" t="s">
        <v>760</v>
      </c>
      <c r="E241" s="134"/>
      <c r="F241" s="134"/>
      <c r="G241" s="140"/>
      <c r="H241" s="81" t="s">
        <v>1539</v>
      </c>
      <c r="I241" s="87">
        <v>92.3</v>
      </c>
      <c r="J241" s="87">
        <v>0</v>
      </c>
      <c r="K241" s="87">
        <f>I241*AO241</f>
        <v>0</v>
      </c>
      <c r="L241" s="87">
        <f>I241*AP241</f>
        <v>0</v>
      </c>
      <c r="M241" s="87">
        <f>I241*J241</f>
        <v>0</v>
      </c>
      <c r="N241" s="77" t="s">
        <v>1556</v>
      </c>
      <c r="O241" s="67"/>
      <c r="Z241" s="28">
        <f>IF(AQ241="5",BJ241,0)</f>
        <v>0</v>
      </c>
      <c r="AB241" s="28">
        <f>IF(AQ241="1",BH241,0)</f>
        <v>0</v>
      </c>
      <c r="AC241" s="28">
        <f>IF(AQ241="1",BI241,0)</f>
        <v>0</v>
      </c>
      <c r="AD241" s="28">
        <f>IF(AQ241="7",BH241,0)</f>
        <v>0</v>
      </c>
      <c r="AE241" s="28">
        <f>IF(AQ241="7",BI241,0)</f>
        <v>0</v>
      </c>
      <c r="AF241" s="28">
        <f>IF(AQ241="2",BH241,0)</f>
        <v>0</v>
      </c>
      <c r="AG241" s="28">
        <f>IF(AQ241="2",BI241,0)</f>
        <v>0</v>
      </c>
      <c r="AH241" s="28">
        <f>IF(AQ241="0",BJ241,0)</f>
        <v>0</v>
      </c>
      <c r="AI241" s="27" t="s">
        <v>283</v>
      </c>
      <c r="AJ241" s="18">
        <f>IF(AN241=0,M241,0)</f>
        <v>0</v>
      </c>
      <c r="AK241" s="18">
        <f>IF(AN241=15,M241,0)</f>
        <v>0</v>
      </c>
      <c r="AL241" s="18">
        <f>IF(AN241=21,M241,0)</f>
        <v>0</v>
      </c>
      <c r="AN241" s="28">
        <v>15</v>
      </c>
      <c r="AO241" s="28">
        <f>J241*0</f>
        <v>0</v>
      </c>
      <c r="AP241" s="28">
        <f>J241*(1-0)</f>
        <v>0</v>
      </c>
      <c r="AQ241" s="29" t="s">
        <v>7</v>
      </c>
      <c r="AV241" s="28">
        <f>AW241+AX241</f>
        <v>0</v>
      </c>
      <c r="AW241" s="28">
        <f>I241*AO241</f>
        <v>0</v>
      </c>
      <c r="AX241" s="28">
        <f>I241*AP241</f>
        <v>0</v>
      </c>
      <c r="AY241" s="31" t="s">
        <v>1582</v>
      </c>
      <c r="AZ241" s="31" t="s">
        <v>1618</v>
      </c>
      <c r="BA241" s="27" t="s">
        <v>1628</v>
      </c>
      <c r="BC241" s="28">
        <f>AW241+AX241</f>
        <v>0</v>
      </c>
      <c r="BD241" s="28">
        <f>J241/(100-BE241)*100</f>
        <v>0</v>
      </c>
      <c r="BE241" s="28">
        <v>0</v>
      </c>
      <c r="BF241" s="28">
        <f>241</f>
        <v>241</v>
      </c>
      <c r="BH241" s="18">
        <f>I241*AO241</f>
        <v>0</v>
      </c>
      <c r="BI241" s="18">
        <f>I241*AP241</f>
        <v>0</v>
      </c>
      <c r="BJ241" s="18">
        <f>I241*J241</f>
        <v>0</v>
      </c>
      <c r="BK241" s="18" t="s">
        <v>1634</v>
      </c>
      <c r="BL241" s="28">
        <v>62</v>
      </c>
    </row>
    <row r="242" spans="1:15" ht="12.75">
      <c r="A242" s="89"/>
      <c r="B242" s="90"/>
      <c r="C242" s="90"/>
      <c r="D242" s="84" t="s">
        <v>761</v>
      </c>
      <c r="G242" s="91"/>
      <c r="H242" s="90"/>
      <c r="I242" s="92">
        <v>2.9</v>
      </c>
      <c r="J242" s="90"/>
      <c r="K242" s="90"/>
      <c r="L242" s="90"/>
      <c r="M242" s="90"/>
      <c r="N242" s="79"/>
      <c r="O242" s="67"/>
    </row>
    <row r="243" spans="1:15" ht="12.75">
      <c r="A243" s="89"/>
      <c r="B243" s="90"/>
      <c r="C243" s="90"/>
      <c r="D243" s="84" t="s">
        <v>762</v>
      </c>
      <c r="G243" s="91" t="s">
        <v>1383</v>
      </c>
      <c r="H243" s="90"/>
      <c r="I243" s="92">
        <v>59.6</v>
      </c>
      <c r="J243" s="90"/>
      <c r="K243" s="90"/>
      <c r="L243" s="90"/>
      <c r="M243" s="90"/>
      <c r="N243" s="79"/>
      <c r="O243" s="67"/>
    </row>
    <row r="244" spans="1:15" ht="12.75">
      <c r="A244" s="89"/>
      <c r="B244" s="90"/>
      <c r="C244" s="90"/>
      <c r="D244" s="84" t="s">
        <v>763</v>
      </c>
      <c r="G244" s="91" t="s">
        <v>1384</v>
      </c>
      <c r="H244" s="90"/>
      <c r="I244" s="92">
        <v>27.8</v>
      </c>
      <c r="J244" s="90"/>
      <c r="K244" s="90"/>
      <c r="L244" s="90"/>
      <c r="M244" s="90"/>
      <c r="N244" s="79"/>
      <c r="O244" s="67"/>
    </row>
    <row r="245" spans="1:15" ht="12.75">
      <c r="A245" s="82"/>
      <c r="B245" s="83"/>
      <c r="C245" s="83"/>
      <c r="D245" s="85" t="s">
        <v>764</v>
      </c>
      <c r="G245" s="86" t="s">
        <v>1385</v>
      </c>
      <c r="H245" s="83"/>
      <c r="I245" s="88">
        <v>2</v>
      </c>
      <c r="J245" s="83"/>
      <c r="K245" s="83"/>
      <c r="L245" s="83"/>
      <c r="M245" s="83"/>
      <c r="N245" s="80"/>
      <c r="O245" s="67"/>
    </row>
    <row r="246" spans="1:15" ht="12.75">
      <c r="A246" s="3"/>
      <c r="C246" s="13" t="s">
        <v>302</v>
      </c>
      <c r="D246" s="145" t="s">
        <v>765</v>
      </c>
      <c r="E246" s="146"/>
      <c r="F246" s="146"/>
      <c r="G246" s="146"/>
      <c r="H246" s="146"/>
      <c r="I246" s="146"/>
      <c r="J246" s="146"/>
      <c r="K246" s="146"/>
      <c r="L246" s="146"/>
      <c r="M246" s="146"/>
      <c r="N246" s="147"/>
      <c r="O246" s="3"/>
    </row>
    <row r="247" spans="1:15" ht="12.75">
      <c r="A247" s="3"/>
      <c r="C247" s="12" t="s">
        <v>296</v>
      </c>
      <c r="D247" s="142" t="s">
        <v>622</v>
      </c>
      <c r="E247" s="143"/>
      <c r="F247" s="143"/>
      <c r="G247" s="143"/>
      <c r="H247" s="143"/>
      <c r="I247" s="143"/>
      <c r="J247" s="143"/>
      <c r="K247" s="143"/>
      <c r="L247" s="143"/>
      <c r="M247" s="143"/>
      <c r="N247" s="144"/>
      <c r="O247" s="3"/>
    </row>
    <row r="248" spans="1:64" ht="12.75">
      <c r="A248" s="94" t="s">
        <v>59</v>
      </c>
      <c r="B248" s="94" t="s">
        <v>283</v>
      </c>
      <c r="C248" s="94" t="s">
        <v>343</v>
      </c>
      <c r="D248" s="148" t="s">
        <v>766</v>
      </c>
      <c r="E248" s="149"/>
      <c r="F248" s="149"/>
      <c r="G248" s="150"/>
      <c r="H248" s="94" t="s">
        <v>1539</v>
      </c>
      <c r="I248" s="95">
        <v>101.53</v>
      </c>
      <c r="J248" s="95">
        <v>0</v>
      </c>
      <c r="K248" s="95">
        <f>I248*AO248</f>
        <v>0</v>
      </c>
      <c r="L248" s="95">
        <f>I248*AP248</f>
        <v>0</v>
      </c>
      <c r="M248" s="95">
        <f>I248*J248</f>
        <v>0</v>
      </c>
      <c r="N248" s="93" t="s">
        <v>1556</v>
      </c>
      <c r="O248" s="67"/>
      <c r="Z248" s="28">
        <f>IF(AQ248="5",BJ248,0)</f>
        <v>0</v>
      </c>
      <c r="AB248" s="28">
        <f>IF(AQ248="1",BH248,0)</f>
        <v>0</v>
      </c>
      <c r="AC248" s="28">
        <f>IF(AQ248="1",BI248,0)</f>
        <v>0</v>
      </c>
      <c r="AD248" s="28">
        <f>IF(AQ248="7",BH248,0)</f>
        <v>0</v>
      </c>
      <c r="AE248" s="28">
        <f>IF(AQ248="7",BI248,0)</f>
        <v>0</v>
      </c>
      <c r="AF248" s="28">
        <f>IF(AQ248="2",BH248,0)</f>
        <v>0</v>
      </c>
      <c r="AG248" s="28">
        <f>IF(AQ248="2",BI248,0)</f>
        <v>0</v>
      </c>
      <c r="AH248" s="28">
        <f>IF(AQ248="0",BJ248,0)</f>
        <v>0</v>
      </c>
      <c r="AI248" s="27" t="s">
        <v>283</v>
      </c>
      <c r="AJ248" s="20">
        <f>IF(AN248=0,M248,0)</f>
        <v>0</v>
      </c>
      <c r="AK248" s="20">
        <f>IF(AN248=15,M248,0)</f>
        <v>0</v>
      </c>
      <c r="AL248" s="20">
        <f>IF(AN248=21,M248,0)</f>
        <v>0</v>
      </c>
      <c r="AN248" s="28">
        <v>15</v>
      </c>
      <c r="AO248" s="28">
        <f>J248*1</f>
        <v>0</v>
      </c>
      <c r="AP248" s="28">
        <f>J248*(1-1)</f>
        <v>0</v>
      </c>
      <c r="AQ248" s="30" t="s">
        <v>7</v>
      </c>
      <c r="AV248" s="28">
        <f>AW248+AX248</f>
        <v>0</v>
      </c>
      <c r="AW248" s="28">
        <f>I248*AO248</f>
        <v>0</v>
      </c>
      <c r="AX248" s="28">
        <f>I248*AP248</f>
        <v>0</v>
      </c>
      <c r="AY248" s="31" t="s">
        <v>1582</v>
      </c>
      <c r="AZ248" s="31" t="s">
        <v>1618</v>
      </c>
      <c r="BA248" s="27" t="s">
        <v>1628</v>
      </c>
      <c r="BC248" s="28">
        <f>AW248+AX248</f>
        <v>0</v>
      </c>
      <c r="BD248" s="28">
        <f>J248/(100-BE248)*100</f>
        <v>0</v>
      </c>
      <c r="BE248" s="28">
        <v>0</v>
      </c>
      <c r="BF248" s="28">
        <f>248</f>
        <v>248</v>
      </c>
      <c r="BH248" s="20">
        <f>I248*AO248</f>
        <v>0</v>
      </c>
      <c r="BI248" s="20">
        <f>I248*AP248</f>
        <v>0</v>
      </c>
      <c r="BJ248" s="20">
        <f>I248*J248</f>
        <v>0</v>
      </c>
      <c r="BK248" s="20" t="s">
        <v>1635</v>
      </c>
      <c r="BL248" s="28">
        <v>62</v>
      </c>
    </row>
    <row r="249" spans="1:15" ht="12.75">
      <c r="A249" s="89"/>
      <c r="B249" s="90"/>
      <c r="C249" s="90"/>
      <c r="D249" s="84" t="s">
        <v>761</v>
      </c>
      <c r="G249" s="91"/>
      <c r="H249" s="90"/>
      <c r="I249" s="92">
        <v>2.9</v>
      </c>
      <c r="J249" s="90"/>
      <c r="K249" s="90"/>
      <c r="L249" s="90"/>
      <c r="M249" s="90"/>
      <c r="N249" s="79"/>
      <c r="O249" s="67"/>
    </row>
    <row r="250" spans="1:15" ht="12.75">
      <c r="A250" s="89"/>
      <c r="B250" s="90"/>
      <c r="C250" s="90"/>
      <c r="D250" s="84" t="s">
        <v>762</v>
      </c>
      <c r="G250" s="91" t="s">
        <v>1383</v>
      </c>
      <c r="H250" s="90"/>
      <c r="I250" s="92">
        <v>59.6</v>
      </c>
      <c r="J250" s="90"/>
      <c r="K250" s="90"/>
      <c r="L250" s="90"/>
      <c r="M250" s="90"/>
      <c r="N250" s="79"/>
      <c r="O250" s="67"/>
    </row>
    <row r="251" spans="1:15" ht="12.75">
      <c r="A251" s="89"/>
      <c r="B251" s="90"/>
      <c r="C251" s="90"/>
      <c r="D251" s="84" t="s">
        <v>763</v>
      </c>
      <c r="G251" s="91" t="s">
        <v>1384</v>
      </c>
      <c r="H251" s="90"/>
      <c r="I251" s="92">
        <v>27.8</v>
      </c>
      <c r="J251" s="90"/>
      <c r="K251" s="90"/>
      <c r="L251" s="90"/>
      <c r="M251" s="90"/>
      <c r="N251" s="79"/>
      <c r="O251" s="67"/>
    </row>
    <row r="252" spans="1:15" ht="12.75">
      <c r="A252" s="89"/>
      <c r="B252" s="90"/>
      <c r="C252" s="90"/>
      <c r="D252" s="84" t="s">
        <v>764</v>
      </c>
      <c r="G252" s="91" t="s">
        <v>1385</v>
      </c>
      <c r="H252" s="90"/>
      <c r="I252" s="92">
        <v>2</v>
      </c>
      <c r="J252" s="90"/>
      <c r="K252" s="90"/>
      <c r="L252" s="90"/>
      <c r="M252" s="90"/>
      <c r="N252" s="79"/>
      <c r="O252" s="67"/>
    </row>
    <row r="253" spans="1:15" ht="12.75">
      <c r="A253" s="82"/>
      <c r="B253" s="83"/>
      <c r="C253" s="83"/>
      <c r="D253" s="85" t="s">
        <v>767</v>
      </c>
      <c r="G253" s="86"/>
      <c r="H253" s="83"/>
      <c r="I253" s="88">
        <v>9.23</v>
      </c>
      <c r="J253" s="83"/>
      <c r="K253" s="83"/>
      <c r="L253" s="83"/>
      <c r="M253" s="83"/>
      <c r="N253" s="80"/>
      <c r="O253" s="67"/>
    </row>
    <row r="254" spans="1:15" ht="38.25" customHeight="1">
      <c r="A254" s="3"/>
      <c r="C254" s="13" t="s">
        <v>302</v>
      </c>
      <c r="D254" s="145" t="s">
        <v>768</v>
      </c>
      <c r="E254" s="146"/>
      <c r="F254" s="146"/>
      <c r="G254" s="146"/>
      <c r="H254" s="146"/>
      <c r="I254" s="146"/>
      <c r="J254" s="146"/>
      <c r="K254" s="146"/>
      <c r="L254" s="146"/>
      <c r="M254" s="146"/>
      <c r="N254" s="147"/>
      <c r="O254" s="3"/>
    </row>
    <row r="255" spans="1:15" ht="12.75">
      <c r="A255" s="3"/>
      <c r="C255" s="12" t="s">
        <v>296</v>
      </c>
      <c r="D255" s="142" t="s">
        <v>622</v>
      </c>
      <c r="E255" s="143"/>
      <c r="F255" s="143"/>
      <c r="G255" s="143"/>
      <c r="H255" s="143"/>
      <c r="I255" s="143"/>
      <c r="J255" s="143"/>
      <c r="K255" s="143"/>
      <c r="L255" s="143"/>
      <c r="M255" s="143"/>
      <c r="N255" s="144"/>
      <c r="O255" s="3"/>
    </row>
    <row r="256" spans="1:64" ht="12.75">
      <c r="A256" s="74" t="s">
        <v>60</v>
      </c>
      <c r="B256" s="74" t="s">
        <v>283</v>
      </c>
      <c r="C256" s="74" t="s">
        <v>344</v>
      </c>
      <c r="D256" s="133" t="s">
        <v>769</v>
      </c>
      <c r="E256" s="134"/>
      <c r="F256" s="134"/>
      <c r="G256" s="135"/>
      <c r="H256" s="74" t="s">
        <v>1535</v>
      </c>
      <c r="I256" s="75">
        <v>70.0955</v>
      </c>
      <c r="J256" s="75">
        <v>0</v>
      </c>
      <c r="K256" s="75">
        <f>I256*AO256</f>
        <v>0</v>
      </c>
      <c r="L256" s="75">
        <f>I256*AP256</f>
        <v>0</v>
      </c>
      <c r="M256" s="75">
        <f>I256*J256</f>
        <v>0</v>
      </c>
      <c r="N256" s="78" t="s">
        <v>1556</v>
      </c>
      <c r="O256" s="67"/>
      <c r="Z256" s="28">
        <f>IF(AQ256="5",BJ256,0)</f>
        <v>0</v>
      </c>
      <c r="AB256" s="28">
        <f>IF(AQ256="1",BH256,0)</f>
        <v>0</v>
      </c>
      <c r="AC256" s="28">
        <f>IF(AQ256="1",BI256,0)</f>
        <v>0</v>
      </c>
      <c r="AD256" s="28">
        <f>IF(AQ256="7",BH256,0)</f>
        <v>0</v>
      </c>
      <c r="AE256" s="28">
        <f>IF(AQ256="7",BI256,0)</f>
        <v>0</v>
      </c>
      <c r="AF256" s="28">
        <f>IF(AQ256="2",BH256,0)</f>
        <v>0</v>
      </c>
      <c r="AG256" s="28">
        <f>IF(AQ256="2",BI256,0)</f>
        <v>0</v>
      </c>
      <c r="AH256" s="28">
        <f>IF(AQ256="0",BJ256,0)</f>
        <v>0</v>
      </c>
      <c r="AI256" s="27" t="s">
        <v>283</v>
      </c>
      <c r="AJ256" s="18">
        <f>IF(AN256=0,M256,0)</f>
        <v>0</v>
      </c>
      <c r="AK256" s="18">
        <f>IF(AN256=15,M256,0)</f>
        <v>0</v>
      </c>
      <c r="AL256" s="18">
        <f>IF(AN256=21,M256,0)</f>
        <v>0</v>
      </c>
      <c r="AN256" s="28">
        <v>15</v>
      </c>
      <c r="AO256" s="28">
        <f>J256*0.221993495101454</f>
        <v>0</v>
      </c>
      <c r="AP256" s="28">
        <f>J256*(1-0.221993495101454)</f>
        <v>0</v>
      </c>
      <c r="AQ256" s="29" t="s">
        <v>7</v>
      </c>
      <c r="AV256" s="28">
        <f>AW256+AX256</f>
        <v>0</v>
      </c>
      <c r="AW256" s="28">
        <f>I256*AO256</f>
        <v>0</v>
      </c>
      <c r="AX256" s="28">
        <f>I256*AP256</f>
        <v>0</v>
      </c>
      <c r="AY256" s="31" t="s">
        <v>1582</v>
      </c>
      <c r="AZ256" s="31" t="s">
        <v>1618</v>
      </c>
      <c r="BA256" s="27" t="s">
        <v>1628</v>
      </c>
      <c r="BC256" s="28">
        <f>AW256+AX256</f>
        <v>0</v>
      </c>
      <c r="BD256" s="28">
        <f>J256/(100-BE256)*100</f>
        <v>0</v>
      </c>
      <c r="BE256" s="28">
        <v>0</v>
      </c>
      <c r="BF256" s="28">
        <f>256</f>
        <v>256</v>
      </c>
      <c r="BH256" s="18">
        <f>I256*AO256</f>
        <v>0</v>
      </c>
      <c r="BI256" s="18">
        <f>I256*AP256</f>
        <v>0</v>
      </c>
      <c r="BJ256" s="18">
        <f>I256*J256</f>
        <v>0</v>
      </c>
      <c r="BK256" s="18" t="s">
        <v>1634</v>
      </c>
      <c r="BL256" s="28">
        <v>62</v>
      </c>
    </row>
    <row r="257" spans="1:15" ht="12.75">
      <c r="A257" s="3"/>
      <c r="D257" s="136" t="s">
        <v>770</v>
      </c>
      <c r="E257" s="137"/>
      <c r="F257" s="137"/>
      <c r="G257" s="137"/>
      <c r="H257" s="137"/>
      <c r="I257" s="137"/>
      <c r="J257" s="137"/>
      <c r="K257" s="137"/>
      <c r="L257" s="137"/>
      <c r="M257" s="137"/>
      <c r="N257" s="138"/>
      <c r="O257" s="3"/>
    </row>
    <row r="258" spans="1:15" ht="12.75">
      <c r="A258" s="89"/>
      <c r="B258" s="90"/>
      <c r="C258" s="90"/>
      <c r="D258" s="84" t="s">
        <v>771</v>
      </c>
      <c r="G258" s="91" t="s">
        <v>1386</v>
      </c>
      <c r="H258" s="90"/>
      <c r="I258" s="92">
        <v>56.165</v>
      </c>
      <c r="J258" s="90"/>
      <c r="K258" s="90"/>
      <c r="L258" s="90"/>
      <c r="M258" s="90"/>
      <c r="N258" s="79"/>
      <c r="O258" s="67"/>
    </row>
    <row r="259" spans="1:15" ht="12.75">
      <c r="A259" s="82"/>
      <c r="B259" s="83"/>
      <c r="C259" s="83"/>
      <c r="D259" s="85" t="s">
        <v>772</v>
      </c>
      <c r="G259" s="86" t="s">
        <v>1387</v>
      </c>
      <c r="H259" s="83"/>
      <c r="I259" s="88">
        <v>13.9305</v>
      </c>
      <c r="J259" s="83"/>
      <c r="K259" s="83"/>
      <c r="L259" s="83"/>
      <c r="M259" s="83"/>
      <c r="N259" s="80"/>
      <c r="O259" s="67"/>
    </row>
    <row r="260" spans="1:15" ht="12.75">
      <c r="A260" s="3"/>
      <c r="C260" s="13" t="s">
        <v>302</v>
      </c>
      <c r="D260" s="145" t="s">
        <v>773</v>
      </c>
      <c r="E260" s="146"/>
      <c r="F260" s="146"/>
      <c r="G260" s="146"/>
      <c r="H260" s="146"/>
      <c r="I260" s="146"/>
      <c r="J260" s="146"/>
      <c r="K260" s="146"/>
      <c r="L260" s="146"/>
      <c r="M260" s="146"/>
      <c r="N260" s="147"/>
      <c r="O260" s="3"/>
    </row>
    <row r="261" spans="1:15" ht="12.75">
      <c r="A261" s="3"/>
      <c r="C261" s="12" t="s">
        <v>296</v>
      </c>
      <c r="D261" s="142" t="s">
        <v>622</v>
      </c>
      <c r="E261" s="143"/>
      <c r="F261" s="143"/>
      <c r="G261" s="143"/>
      <c r="H261" s="143"/>
      <c r="I261" s="143"/>
      <c r="J261" s="143"/>
      <c r="K261" s="143"/>
      <c r="L261" s="143"/>
      <c r="M261" s="143"/>
      <c r="N261" s="144"/>
      <c r="O261" s="3"/>
    </row>
    <row r="262" spans="1:64" ht="12.75">
      <c r="A262" s="81" t="s">
        <v>61</v>
      </c>
      <c r="B262" s="81" t="s">
        <v>283</v>
      </c>
      <c r="C262" s="81" t="s">
        <v>345</v>
      </c>
      <c r="D262" s="139" t="s">
        <v>774</v>
      </c>
      <c r="E262" s="134"/>
      <c r="F262" s="134"/>
      <c r="G262" s="140"/>
      <c r="H262" s="81" t="s">
        <v>1535</v>
      </c>
      <c r="I262" s="87">
        <v>70.0955</v>
      </c>
      <c r="J262" s="87">
        <v>0</v>
      </c>
      <c r="K262" s="87">
        <f>I262*AO262</f>
        <v>0</v>
      </c>
      <c r="L262" s="87">
        <f>I262*AP262</f>
        <v>0</v>
      </c>
      <c r="M262" s="87">
        <f>I262*J262</f>
        <v>0</v>
      </c>
      <c r="N262" s="77" t="s">
        <v>1557</v>
      </c>
      <c r="O262" s="67"/>
      <c r="Z262" s="28">
        <f>IF(AQ262="5",BJ262,0)</f>
        <v>0</v>
      </c>
      <c r="AB262" s="28">
        <f>IF(AQ262="1",BH262,0)</f>
        <v>0</v>
      </c>
      <c r="AC262" s="28">
        <f>IF(AQ262="1",BI262,0)</f>
        <v>0</v>
      </c>
      <c r="AD262" s="28">
        <f>IF(AQ262="7",BH262,0)</f>
        <v>0</v>
      </c>
      <c r="AE262" s="28">
        <f>IF(AQ262="7",BI262,0)</f>
        <v>0</v>
      </c>
      <c r="AF262" s="28">
        <f>IF(AQ262="2",BH262,0)</f>
        <v>0</v>
      </c>
      <c r="AG262" s="28">
        <f>IF(AQ262="2",BI262,0)</f>
        <v>0</v>
      </c>
      <c r="AH262" s="28">
        <f>IF(AQ262="0",BJ262,0)</f>
        <v>0</v>
      </c>
      <c r="AI262" s="27" t="s">
        <v>283</v>
      </c>
      <c r="AJ262" s="18">
        <f>IF(AN262=0,M262,0)</f>
        <v>0</v>
      </c>
      <c r="AK262" s="18">
        <f>IF(AN262=15,M262,0)</f>
        <v>0</v>
      </c>
      <c r="AL262" s="18">
        <f>IF(AN262=21,M262,0)</f>
        <v>0</v>
      </c>
      <c r="AN262" s="28">
        <v>15</v>
      </c>
      <c r="AO262" s="28">
        <f>J262*0</f>
        <v>0</v>
      </c>
      <c r="AP262" s="28">
        <f>J262*(1-0)</f>
        <v>0</v>
      </c>
      <c r="AQ262" s="29" t="s">
        <v>7</v>
      </c>
      <c r="AV262" s="28">
        <f>AW262+AX262</f>
        <v>0</v>
      </c>
      <c r="AW262" s="28">
        <f>I262*AO262</f>
        <v>0</v>
      </c>
      <c r="AX262" s="28">
        <f>I262*AP262</f>
        <v>0</v>
      </c>
      <c r="AY262" s="31" t="s">
        <v>1582</v>
      </c>
      <c r="AZ262" s="31" t="s">
        <v>1618</v>
      </c>
      <c r="BA262" s="27" t="s">
        <v>1628</v>
      </c>
      <c r="BC262" s="28">
        <f>AW262+AX262</f>
        <v>0</v>
      </c>
      <c r="BD262" s="28">
        <f>J262/(100-BE262)*100</f>
        <v>0</v>
      </c>
      <c r="BE262" s="28">
        <v>0</v>
      </c>
      <c r="BF262" s="28">
        <f>262</f>
        <v>262</v>
      </c>
      <c r="BH262" s="18">
        <f>I262*AO262</f>
        <v>0</v>
      </c>
      <c r="BI262" s="18">
        <f>I262*AP262</f>
        <v>0</v>
      </c>
      <c r="BJ262" s="18">
        <f>I262*J262</f>
        <v>0</v>
      </c>
      <c r="BK262" s="18" t="s">
        <v>1634</v>
      </c>
      <c r="BL262" s="28">
        <v>62</v>
      </c>
    </row>
    <row r="263" spans="1:15" ht="12.75">
      <c r="A263" s="89"/>
      <c r="B263" s="90"/>
      <c r="C263" s="90"/>
      <c r="D263" s="84" t="s">
        <v>671</v>
      </c>
      <c r="G263" s="91" t="s">
        <v>1388</v>
      </c>
      <c r="H263" s="90"/>
      <c r="I263" s="92">
        <v>70.0955</v>
      </c>
      <c r="J263" s="90"/>
      <c r="K263" s="90"/>
      <c r="L263" s="90"/>
      <c r="M263" s="90"/>
      <c r="N263" s="79"/>
      <c r="O263" s="67"/>
    </row>
    <row r="264" spans="1:64" ht="12.75">
      <c r="A264" s="74" t="s">
        <v>62</v>
      </c>
      <c r="B264" s="74" t="s">
        <v>283</v>
      </c>
      <c r="C264" s="74" t="s">
        <v>346</v>
      </c>
      <c r="D264" s="133" t="s">
        <v>775</v>
      </c>
      <c r="E264" s="134"/>
      <c r="F264" s="134"/>
      <c r="G264" s="135"/>
      <c r="H264" s="74" t="s">
        <v>1535</v>
      </c>
      <c r="I264" s="75">
        <v>71.6865</v>
      </c>
      <c r="J264" s="75">
        <v>0</v>
      </c>
      <c r="K264" s="75">
        <f>I264*AO264</f>
        <v>0</v>
      </c>
      <c r="L264" s="75">
        <f>I264*AP264</f>
        <v>0</v>
      </c>
      <c r="M264" s="75">
        <f>I264*J264</f>
        <v>0</v>
      </c>
      <c r="N264" s="78" t="s">
        <v>1556</v>
      </c>
      <c r="O264" s="67"/>
      <c r="Z264" s="28">
        <f>IF(AQ264="5",BJ264,0)</f>
        <v>0</v>
      </c>
      <c r="AB264" s="28">
        <f>IF(AQ264="1",BH264,0)</f>
        <v>0</v>
      </c>
      <c r="AC264" s="28">
        <f>IF(AQ264="1",BI264,0)</f>
        <v>0</v>
      </c>
      <c r="AD264" s="28">
        <f>IF(AQ264="7",BH264,0)</f>
        <v>0</v>
      </c>
      <c r="AE264" s="28">
        <f>IF(AQ264="7",BI264,0)</f>
        <v>0</v>
      </c>
      <c r="AF264" s="28">
        <f>IF(AQ264="2",BH264,0)</f>
        <v>0</v>
      </c>
      <c r="AG264" s="28">
        <f>IF(AQ264="2",BI264,0)</f>
        <v>0</v>
      </c>
      <c r="AH264" s="28">
        <f>IF(AQ264="0",BJ264,0)</f>
        <v>0</v>
      </c>
      <c r="AI264" s="27" t="s">
        <v>283</v>
      </c>
      <c r="AJ264" s="18">
        <f>IF(AN264=0,M264,0)</f>
        <v>0</v>
      </c>
      <c r="AK264" s="18">
        <f>IF(AN264=15,M264,0)</f>
        <v>0</v>
      </c>
      <c r="AL264" s="18">
        <f>IF(AN264=21,M264,0)</f>
        <v>0</v>
      </c>
      <c r="AN264" s="28">
        <v>15</v>
      </c>
      <c r="AO264" s="28">
        <f>J264*0.72871147613492</f>
        <v>0</v>
      </c>
      <c r="AP264" s="28">
        <f>J264*(1-0.72871147613492)</f>
        <v>0</v>
      </c>
      <c r="AQ264" s="29" t="s">
        <v>7</v>
      </c>
      <c r="AV264" s="28">
        <f>AW264+AX264</f>
        <v>0</v>
      </c>
      <c r="AW264" s="28">
        <f>I264*AO264</f>
        <v>0</v>
      </c>
      <c r="AX264" s="28">
        <f>I264*AP264</f>
        <v>0</v>
      </c>
      <c r="AY264" s="31" t="s">
        <v>1582</v>
      </c>
      <c r="AZ264" s="31" t="s">
        <v>1618</v>
      </c>
      <c r="BA264" s="27" t="s">
        <v>1628</v>
      </c>
      <c r="BC264" s="28">
        <f>AW264+AX264</f>
        <v>0</v>
      </c>
      <c r="BD264" s="28">
        <f>J264/(100-BE264)*100</f>
        <v>0</v>
      </c>
      <c r="BE264" s="28">
        <v>0</v>
      </c>
      <c r="BF264" s="28">
        <f>264</f>
        <v>264</v>
      </c>
      <c r="BH264" s="18">
        <f>I264*AO264</f>
        <v>0</v>
      </c>
      <c r="BI264" s="18">
        <f>I264*AP264</f>
        <v>0</v>
      </c>
      <c r="BJ264" s="18">
        <f>I264*J264</f>
        <v>0</v>
      </c>
      <c r="BK264" s="18" t="s">
        <v>1634</v>
      </c>
      <c r="BL264" s="28">
        <v>62</v>
      </c>
    </row>
    <row r="265" spans="1:15" ht="25.5" customHeight="1">
      <c r="A265" s="3"/>
      <c r="D265" s="136" t="s">
        <v>776</v>
      </c>
      <c r="E265" s="137"/>
      <c r="F265" s="137"/>
      <c r="G265" s="137"/>
      <c r="H265" s="137"/>
      <c r="I265" s="137"/>
      <c r="J265" s="137"/>
      <c r="K265" s="137"/>
      <c r="L265" s="137"/>
      <c r="M265" s="137"/>
      <c r="N265" s="138"/>
      <c r="O265" s="3"/>
    </row>
    <row r="266" spans="1:15" ht="12.75">
      <c r="A266" s="82"/>
      <c r="B266" s="83"/>
      <c r="C266" s="83"/>
      <c r="D266" s="85" t="s">
        <v>777</v>
      </c>
      <c r="G266" s="86" t="s">
        <v>1389</v>
      </c>
      <c r="H266" s="83"/>
      <c r="I266" s="88">
        <v>71.6865</v>
      </c>
      <c r="J266" s="83"/>
      <c r="K266" s="83"/>
      <c r="L266" s="83"/>
      <c r="M266" s="83"/>
      <c r="N266" s="80"/>
      <c r="O266" s="67"/>
    </row>
    <row r="267" spans="1:15" ht="25.5" customHeight="1">
      <c r="A267" s="3"/>
      <c r="C267" s="13" t="s">
        <v>302</v>
      </c>
      <c r="D267" s="145" t="s">
        <v>778</v>
      </c>
      <c r="E267" s="146"/>
      <c r="F267" s="146"/>
      <c r="G267" s="146"/>
      <c r="H267" s="146"/>
      <c r="I267" s="146"/>
      <c r="J267" s="146"/>
      <c r="K267" s="146"/>
      <c r="L267" s="146"/>
      <c r="M267" s="146"/>
      <c r="N267" s="147"/>
      <c r="O267" s="3"/>
    </row>
    <row r="268" spans="1:15" ht="12.75">
      <c r="A268" s="3"/>
      <c r="C268" s="12" t="s">
        <v>296</v>
      </c>
      <c r="D268" s="142" t="s">
        <v>622</v>
      </c>
      <c r="E268" s="143"/>
      <c r="F268" s="143"/>
      <c r="G268" s="143"/>
      <c r="H268" s="143"/>
      <c r="I268" s="143"/>
      <c r="J268" s="143"/>
      <c r="K268" s="143"/>
      <c r="L268" s="143"/>
      <c r="M268" s="143"/>
      <c r="N268" s="144"/>
      <c r="O268" s="3"/>
    </row>
    <row r="269" spans="1:64" ht="12.75">
      <c r="A269" s="74" t="s">
        <v>63</v>
      </c>
      <c r="B269" s="74" t="s">
        <v>283</v>
      </c>
      <c r="C269" s="74" t="s">
        <v>347</v>
      </c>
      <c r="D269" s="133" t="s">
        <v>779</v>
      </c>
      <c r="E269" s="134"/>
      <c r="F269" s="134"/>
      <c r="G269" s="135"/>
      <c r="H269" s="74" t="s">
        <v>1535</v>
      </c>
      <c r="I269" s="75">
        <v>43.181</v>
      </c>
      <c r="J269" s="75">
        <v>0</v>
      </c>
      <c r="K269" s="75">
        <f>I269*AO269</f>
        <v>0</v>
      </c>
      <c r="L269" s="75">
        <f>I269*AP269</f>
        <v>0</v>
      </c>
      <c r="M269" s="75">
        <f>I269*J269</f>
        <v>0</v>
      </c>
      <c r="N269" s="78" t="s">
        <v>1556</v>
      </c>
      <c r="O269" s="67"/>
      <c r="Z269" s="28">
        <f>IF(AQ269="5",BJ269,0)</f>
        <v>0</v>
      </c>
      <c r="AB269" s="28">
        <f>IF(AQ269="1",BH269,0)</f>
        <v>0</v>
      </c>
      <c r="AC269" s="28">
        <f>IF(AQ269="1",BI269,0)</f>
        <v>0</v>
      </c>
      <c r="AD269" s="28">
        <f>IF(AQ269="7",BH269,0)</f>
        <v>0</v>
      </c>
      <c r="AE269" s="28">
        <f>IF(AQ269="7",BI269,0)</f>
        <v>0</v>
      </c>
      <c r="AF269" s="28">
        <f>IF(AQ269="2",BH269,0)</f>
        <v>0</v>
      </c>
      <c r="AG269" s="28">
        <f>IF(AQ269="2",BI269,0)</f>
        <v>0</v>
      </c>
      <c r="AH269" s="28">
        <f>IF(AQ269="0",BJ269,0)</f>
        <v>0</v>
      </c>
      <c r="AI269" s="27" t="s">
        <v>283</v>
      </c>
      <c r="AJ269" s="18">
        <f>IF(AN269=0,M269,0)</f>
        <v>0</v>
      </c>
      <c r="AK269" s="18">
        <f>IF(AN269=15,M269,0)</f>
        <v>0</v>
      </c>
      <c r="AL269" s="18">
        <f>IF(AN269=21,M269,0)</f>
        <v>0</v>
      </c>
      <c r="AN269" s="28">
        <v>15</v>
      </c>
      <c r="AO269" s="28">
        <f>J269*0.300971172877764</f>
        <v>0</v>
      </c>
      <c r="AP269" s="28">
        <f>J269*(1-0.300971172877764)</f>
        <v>0</v>
      </c>
      <c r="AQ269" s="29" t="s">
        <v>7</v>
      </c>
      <c r="AV269" s="28">
        <f>AW269+AX269</f>
        <v>0</v>
      </c>
      <c r="AW269" s="28">
        <f>I269*AO269</f>
        <v>0</v>
      </c>
      <c r="AX269" s="28">
        <f>I269*AP269</f>
        <v>0</v>
      </c>
      <c r="AY269" s="31" t="s">
        <v>1582</v>
      </c>
      <c r="AZ269" s="31" t="s">
        <v>1618</v>
      </c>
      <c r="BA269" s="27" t="s">
        <v>1628</v>
      </c>
      <c r="BC269" s="28">
        <f>AW269+AX269</f>
        <v>0</v>
      </c>
      <c r="BD269" s="28">
        <f>J269/(100-BE269)*100</f>
        <v>0</v>
      </c>
      <c r="BE269" s="28">
        <v>0</v>
      </c>
      <c r="BF269" s="28">
        <f>269</f>
        <v>269</v>
      </c>
      <c r="BH269" s="18">
        <f>I269*AO269</f>
        <v>0</v>
      </c>
      <c r="BI269" s="18">
        <f>I269*AP269</f>
        <v>0</v>
      </c>
      <c r="BJ269" s="18">
        <f>I269*J269</f>
        <v>0</v>
      </c>
      <c r="BK269" s="18" t="s">
        <v>1634</v>
      </c>
      <c r="BL269" s="28">
        <v>62</v>
      </c>
    </row>
    <row r="270" spans="1:15" ht="12.75">
      <c r="A270" s="3"/>
      <c r="D270" s="136" t="s">
        <v>770</v>
      </c>
      <c r="E270" s="137"/>
      <c r="F270" s="137"/>
      <c r="G270" s="137"/>
      <c r="H270" s="137"/>
      <c r="I270" s="137"/>
      <c r="J270" s="137"/>
      <c r="K270" s="137"/>
      <c r="L270" s="137"/>
      <c r="M270" s="137"/>
      <c r="N270" s="138"/>
      <c r="O270" s="3"/>
    </row>
    <row r="271" spans="1:15" ht="12.75">
      <c r="A271" s="82"/>
      <c r="B271" s="83"/>
      <c r="C271" s="83"/>
      <c r="D271" s="85" t="s">
        <v>672</v>
      </c>
      <c r="G271" s="86" t="s">
        <v>1354</v>
      </c>
      <c r="H271" s="83"/>
      <c r="I271" s="88">
        <v>43.181</v>
      </c>
      <c r="J271" s="83"/>
      <c r="K271" s="83"/>
      <c r="L271" s="83"/>
      <c r="M271" s="83"/>
      <c r="N271" s="80"/>
      <c r="O271" s="67"/>
    </row>
    <row r="272" spans="1:15" ht="12.75">
      <c r="A272" s="3"/>
      <c r="C272" s="13" t="s">
        <v>302</v>
      </c>
      <c r="D272" s="145" t="s">
        <v>780</v>
      </c>
      <c r="E272" s="146"/>
      <c r="F272" s="146"/>
      <c r="G272" s="146"/>
      <c r="H272" s="146"/>
      <c r="I272" s="146"/>
      <c r="J272" s="146"/>
      <c r="K272" s="146"/>
      <c r="L272" s="146"/>
      <c r="M272" s="146"/>
      <c r="N272" s="147"/>
      <c r="O272" s="3"/>
    </row>
    <row r="273" spans="1:15" ht="12.75">
      <c r="A273" s="3"/>
      <c r="C273" s="12" t="s">
        <v>296</v>
      </c>
      <c r="D273" s="142" t="s">
        <v>622</v>
      </c>
      <c r="E273" s="143"/>
      <c r="F273" s="143"/>
      <c r="G273" s="143"/>
      <c r="H273" s="143"/>
      <c r="I273" s="143"/>
      <c r="J273" s="143"/>
      <c r="K273" s="143"/>
      <c r="L273" s="143"/>
      <c r="M273" s="143"/>
      <c r="N273" s="144"/>
      <c r="O273" s="3"/>
    </row>
    <row r="274" spans="1:64" ht="12.75">
      <c r="A274" s="2" t="s">
        <v>64</v>
      </c>
      <c r="B274" s="9" t="s">
        <v>283</v>
      </c>
      <c r="C274" s="9" t="s">
        <v>348</v>
      </c>
      <c r="D274" s="141" t="s">
        <v>781</v>
      </c>
      <c r="E274" s="134"/>
      <c r="F274" s="134"/>
      <c r="G274" s="134"/>
      <c r="H274" s="9" t="s">
        <v>1535</v>
      </c>
      <c r="I274" s="18">
        <v>92.42678</v>
      </c>
      <c r="J274" s="18">
        <v>0</v>
      </c>
      <c r="K274" s="18">
        <f>I274*AO274</f>
        <v>0</v>
      </c>
      <c r="L274" s="18">
        <f>I274*AP274</f>
        <v>0</v>
      </c>
      <c r="M274" s="18">
        <f>I274*J274</f>
        <v>0</v>
      </c>
      <c r="N274" s="23" t="s">
        <v>1556</v>
      </c>
      <c r="O274" s="3"/>
      <c r="Z274" s="28">
        <f>IF(AQ274="5",BJ274,0)</f>
        <v>0</v>
      </c>
      <c r="AB274" s="28">
        <f>IF(AQ274="1",BH274,0)</f>
        <v>0</v>
      </c>
      <c r="AC274" s="28">
        <f>IF(AQ274="1",BI274,0)</f>
        <v>0</v>
      </c>
      <c r="AD274" s="28">
        <f>IF(AQ274="7",BH274,0)</f>
        <v>0</v>
      </c>
      <c r="AE274" s="28">
        <f>IF(AQ274="7",BI274,0)</f>
        <v>0</v>
      </c>
      <c r="AF274" s="28">
        <f>IF(AQ274="2",BH274,0)</f>
        <v>0</v>
      </c>
      <c r="AG274" s="28">
        <f>IF(AQ274="2",BI274,0)</f>
        <v>0</v>
      </c>
      <c r="AH274" s="28">
        <f>IF(AQ274="0",BJ274,0)</f>
        <v>0</v>
      </c>
      <c r="AI274" s="27" t="s">
        <v>283</v>
      </c>
      <c r="AJ274" s="18">
        <f>IF(AN274=0,M274,0)</f>
        <v>0</v>
      </c>
      <c r="AK274" s="18">
        <f>IF(AN274=15,M274,0)</f>
        <v>0</v>
      </c>
      <c r="AL274" s="18">
        <f>IF(AN274=21,M274,0)</f>
        <v>0</v>
      </c>
      <c r="AN274" s="28">
        <v>15</v>
      </c>
      <c r="AO274" s="28">
        <f>J274*0.852340158020286</f>
        <v>0</v>
      </c>
      <c r="AP274" s="28">
        <f>J274*(1-0.852340158020286)</f>
        <v>0</v>
      </c>
      <c r="AQ274" s="29" t="s">
        <v>7</v>
      </c>
      <c r="AV274" s="28">
        <f>AW274+AX274</f>
        <v>0</v>
      </c>
      <c r="AW274" s="28">
        <f>I274*AO274</f>
        <v>0</v>
      </c>
      <c r="AX274" s="28">
        <f>I274*AP274</f>
        <v>0</v>
      </c>
      <c r="AY274" s="31" t="s">
        <v>1582</v>
      </c>
      <c r="AZ274" s="31" t="s">
        <v>1618</v>
      </c>
      <c r="BA274" s="27" t="s">
        <v>1628</v>
      </c>
      <c r="BC274" s="28">
        <f>AW274+AX274</f>
        <v>0</v>
      </c>
      <c r="BD274" s="28">
        <f>J274/(100-BE274)*100</f>
        <v>0</v>
      </c>
      <c r="BE274" s="28">
        <v>0</v>
      </c>
      <c r="BF274" s="28">
        <f>274</f>
        <v>274</v>
      </c>
      <c r="BH274" s="18">
        <f>I274*AO274</f>
        <v>0</v>
      </c>
      <c r="BI274" s="18">
        <f>I274*AP274</f>
        <v>0</v>
      </c>
      <c r="BJ274" s="18">
        <f>I274*J274</f>
        <v>0</v>
      </c>
      <c r="BK274" s="18" t="s">
        <v>1634</v>
      </c>
      <c r="BL274" s="28">
        <v>62</v>
      </c>
    </row>
    <row r="275" spans="1:15" ht="38.25" customHeight="1">
      <c r="A275" s="3"/>
      <c r="D275" s="136" t="s">
        <v>782</v>
      </c>
      <c r="E275" s="137"/>
      <c r="F275" s="137"/>
      <c r="G275" s="137"/>
      <c r="H275" s="137"/>
      <c r="I275" s="137"/>
      <c r="J275" s="137"/>
      <c r="K275" s="137"/>
      <c r="L275" s="137"/>
      <c r="M275" s="137"/>
      <c r="N275" s="138"/>
      <c r="O275" s="3"/>
    </row>
    <row r="276" spans="1:15" ht="12.75">
      <c r="A276" s="3"/>
      <c r="D276" s="14" t="s">
        <v>783</v>
      </c>
      <c r="G276" s="16" t="s">
        <v>1390</v>
      </c>
      <c r="I276" s="19">
        <v>92.42678</v>
      </c>
      <c r="N276" s="24"/>
      <c r="O276" s="3"/>
    </row>
    <row r="277" spans="1:47" ht="12.75">
      <c r="A277" s="72"/>
      <c r="B277" s="73" t="s">
        <v>283</v>
      </c>
      <c r="C277" s="73" t="s">
        <v>69</v>
      </c>
      <c r="D277" s="130" t="s">
        <v>784</v>
      </c>
      <c r="E277" s="131"/>
      <c r="F277" s="131"/>
      <c r="G277" s="132"/>
      <c r="H277" s="72" t="s">
        <v>6</v>
      </c>
      <c r="I277" s="72" t="s">
        <v>6</v>
      </c>
      <c r="J277" s="72" t="s">
        <v>6</v>
      </c>
      <c r="K277" s="76">
        <f>SUM(K278:K297)</f>
        <v>0</v>
      </c>
      <c r="L277" s="76">
        <f>SUM(L278:L297)</f>
        <v>0</v>
      </c>
      <c r="M277" s="76">
        <f>SUM(M278:M297)</f>
        <v>0</v>
      </c>
      <c r="N277" s="71"/>
      <c r="O277" s="67"/>
      <c r="AI277" s="27" t="s">
        <v>283</v>
      </c>
      <c r="AS277" s="33">
        <f>SUM(AJ278:AJ297)</f>
        <v>0</v>
      </c>
      <c r="AT277" s="33">
        <f>SUM(AK278:AK297)</f>
        <v>0</v>
      </c>
      <c r="AU277" s="33">
        <f>SUM(AL278:AL297)</f>
        <v>0</v>
      </c>
    </row>
    <row r="278" spans="1:64" ht="12.75">
      <c r="A278" s="74" t="s">
        <v>65</v>
      </c>
      <c r="B278" s="74" t="s">
        <v>283</v>
      </c>
      <c r="C278" s="74" t="s">
        <v>349</v>
      </c>
      <c r="D278" s="133" t="s">
        <v>785</v>
      </c>
      <c r="E278" s="134"/>
      <c r="F278" s="134"/>
      <c r="G278" s="135"/>
      <c r="H278" s="74" t="s">
        <v>1539</v>
      </c>
      <c r="I278" s="75">
        <v>60.288</v>
      </c>
      <c r="J278" s="75">
        <v>0</v>
      </c>
      <c r="K278" s="75">
        <f>I278*AO278</f>
        <v>0</v>
      </c>
      <c r="L278" s="75">
        <f>I278*AP278</f>
        <v>0</v>
      </c>
      <c r="M278" s="75">
        <f>I278*J278</f>
        <v>0</v>
      </c>
      <c r="N278" s="78" t="s">
        <v>1556</v>
      </c>
      <c r="O278" s="67"/>
      <c r="Z278" s="28">
        <f>IF(AQ278="5",BJ278,0)</f>
        <v>0</v>
      </c>
      <c r="AB278" s="28">
        <f>IF(AQ278="1",BH278,0)</f>
        <v>0</v>
      </c>
      <c r="AC278" s="28">
        <f>IF(AQ278="1",BI278,0)</f>
        <v>0</v>
      </c>
      <c r="AD278" s="28">
        <f>IF(AQ278="7",BH278,0)</f>
        <v>0</v>
      </c>
      <c r="AE278" s="28">
        <f>IF(AQ278="7",BI278,0)</f>
        <v>0</v>
      </c>
      <c r="AF278" s="28">
        <f>IF(AQ278="2",BH278,0)</f>
        <v>0</v>
      </c>
      <c r="AG278" s="28">
        <f>IF(AQ278="2",BI278,0)</f>
        <v>0</v>
      </c>
      <c r="AH278" s="28">
        <f>IF(AQ278="0",BJ278,0)</f>
        <v>0</v>
      </c>
      <c r="AI278" s="27" t="s">
        <v>283</v>
      </c>
      <c r="AJ278" s="18">
        <f>IF(AN278=0,M278,0)</f>
        <v>0</v>
      </c>
      <c r="AK278" s="18">
        <f>IF(AN278=15,M278,0)</f>
        <v>0</v>
      </c>
      <c r="AL278" s="18">
        <f>IF(AN278=21,M278,0)</f>
        <v>0</v>
      </c>
      <c r="AN278" s="28">
        <v>15</v>
      </c>
      <c r="AO278" s="28">
        <f>J278*0.719352033491056</f>
        <v>0</v>
      </c>
      <c r="AP278" s="28">
        <f>J278*(1-0.719352033491056)</f>
        <v>0</v>
      </c>
      <c r="AQ278" s="29" t="s">
        <v>7</v>
      </c>
      <c r="AV278" s="28">
        <f>AW278+AX278</f>
        <v>0</v>
      </c>
      <c r="AW278" s="28">
        <f>I278*AO278</f>
        <v>0</v>
      </c>
      <c r="AX278" s="28">
        <f>I278*AP278</f>
        <v>0</v>
      </c>
      <c r="AY278" s="31" t="s">
        <v>1583</v>
      </c>
      <c r="AZ278" s="31" t="s">
        <v>1618</v>
      </c>
      <c r="BA278" s="27" t="s">
        <v>1628</v>
      </c>
      <c r="BC278" s="28">
        <f>AW278+AX278</f>
        <v>0</v>
      </c>
      <c r="BD278" s="28">
        <f>J278/(100-BE278)*100</f>
        <v>0</v>
      </c>
      <c r="BE278" s="28">
        <v>0</v>
      </c>
      <c r="BF278" s="28">
        <f>278</f>
        <v>278</v>
      </c>
      <c r="BH278" s="18">
        <f>I278*AO278</f>
        <v>0</v>
      </c>
      <c r="BI278" s="18">
        <f>I278*AP278</f>
        <v>0</v>
      </c>
      <c r="BJ278" s="18">
        <f>I278*J278</f>
        <v>0</v>
      </c>
      <c r="BK278" s="18" t="s">
        <v>1634</v>
      </c>
      <c r="BL278" s="28">
        <v>63</v>
      </c>
    </row>
    <row r="279" spans="1:15" ht="12.75">
      <c r="A279" s="3"/>
      <c r="D279" s="136" t="s">
        <v>786</v>
      </c>
      <c r="E279" s="137"/>
      <c r="F279" s="137"/>
      <c r="G279" s="137"/>
      <c r="H279" s="137"/>
      <c r="I279" s="137"/>
      <c r="J279" s="137"/>
      <c r="K279" s="137"/>
      <c r="L279" s="137"/>
      <c r="M279" s="137"/>
      <c r="N279" s="138"/>
      <c r="O279" s="3"/>
    </row>
    <row r="280" spans="1:15" ht="12.75">
      <c r="A280" s="89"/>
      <c r="B280" s="90"/>
      <c r="C280" s="90"/>
      <c r="D280" s="84" t="s">
        <v>787</v>
      </c>
      <c r="G280" s="91" t="s">
        <v>1341</v>
      </c>
      <c r="H280" s="90"/>
      <c r="I280" s="92">
        <v>57.108</v>
      </c>
      <c r="J280" s="90"/>
      <c r="K280" s="90"/>
      <c r="L280" s="90"/>
      <c r="M280" s="90"/>
      <c r="N280" s="79"/>
      <c r="O280" s="67"/>
    </row>
    <row r="281" spans="1:15" ht="12.75">
      <c r="A281" s="82"/>
      <c r="B281" s="83"/>
      <c r="C281" s="83"/>
      <c r="D281" s="85" t="s">
        <v>788</v>
      </c>
      <c r="G281" s="86" t="s">
        <v>1347</v>
      </c>
      <c r="H281" s="83"/>
      <c r="I281" s="88">
        <v>3.18</v>
      </c>
      <c r="J281" s="83"/>
      <c r="K281" s="83"/>
      <c r="L281" s="83"/>
      <c r="M281" s="83"/>
      <c r="N281" s="80"/>
      <c r="O281" s="67"/>
    </row>
    <row r="282" spans="1:15" ht="12.75">
      <c r="A282" s="3"/>
      <c r="C282" s="12" t="s">
        <v>296</v>
      </c>
      <c r="D282" s="142" t="s">
        <v>622</v>
      </c>
      <c r="E282" s="143"/>
      <c r="F282" s="143"/>
      <c r="G282" s="143"/>
      <c r="H282" s="143"/>
      <c r="I282" s="143"/>
      <c r="J282" s="143"/>
      <c r="K282" s="143"/>
      <c r="L282" s="143"/>
      <c r="M282" s="143"/>
      <c r="N282" s="144"/>
      <c r="O282" s="3"/>
    </row>
    <row r="283" spans="1:64" ht="12.75">
      <c r="A283" s="74" t="s">
        <v>66</v>
      </c>
      <c r="B283" s="74" t="s">
        <v>283</v>
      </c>
      <c r="C283" s="74" t="s">
        <v>350</v>
      </c>
      <c r="D283" s="133" t="s">
        <v>789</v>
      </c>
      <c r="E283" s="134"/>
      <c r="F283" s="134"/>
      <c r="G283" s="135"/>
      <c r="H283" s="74" t="s">
        <v>1535</v>
      </c>
      <c r="I283" s="75">
        <v>25.12</v>
      </c>
      <c r="J283" s="75">
        <v>0</v>
      </c>
      <c r="K283" s="75">
        <f>I283*AO283</f>
        <v>0</v>
      </c>
      <c r="L283" s="75">
        <f>I283*AP283</f>
        <v>0</v>
      </c>
      <c r="M283" s="75">
        <f>I283*J283</f>
        <v>0</v>
      </c>
      <c r="N283" s="78" t="s">
        <v>1556</v>
      </c>
      <c r="O283" s="67"/>
      <c r="Z283" s="28">
        <f>IF(AQ283="5",BJ283,0)</f>
        <v>0</v>
      </c>
      <c r="AB283" s="28">
        <f>IF(AQ283="1",BH283,0)</f>
        <v>0</v>
      </c>
      <c r="AC283" s="28">
        <f>IF(AQ283="1",BI283,0)</f>
        <v>0</v>
      </c>
      <c r="AD283" s="28">
        <f>IF(AQ283="7",BH283,0)</f>
        <v>0</v>
      </c>
      <c r="AE283" s="28">
        <f>IF(AQ283="7",BI283,0)</f>
        <v>0</v>
      </c>
      <c r="AF283" s="28">
        <f>IF(AQ283="2",BH283,0)</f>
        <v>0</v>
      </c>
      <c r="AG283" s="28">
        <f>IF(AQ283="2",BI283,0)</f>
        <v>0</v>
      </c>
      <c r="AH283" s="28">
        <f>IF(AQ283="0",BJ283,0)</f>
        <v>0</v>
      </c>
      <c r="AI283" s="27" t="s">
        <v>283</v>
      </c>
      <c r="AJ283" s="18">
        <f>IF(AN283=0,M283,0)</f>
        <v>0</v>
      </c>
      <c r="AK283" s="18">
        <f>IF(AN283=15,M283,0)</f>
        <v>0</v>
      </c>
      <c r="AL283" s="18">
        <f>IF(AN283=21,M283,0)</f>
        <v>0</v>
      </c>
      <c r="AN283" s="28">
        <v>15</v>
      </c>
      <c r="AO283" s="28">
        <f>J283*0.537586206896552</f>
        <v>0</v>
      </c>
      <c r="AP283" s="28">
        <f>J283*(1-0.537586206896552)</f>
        <v>0</v>
      </c>
      <c r="AQ283" s="29" t="s">
        <v>7</v>
      </c>
      <c r="AV283" s="28">
        <f>AW283+AX283</f>
        <v>0</v>
      </c>
      <c r="AW283" s="28">
        <f>I283*AO283</f>
        <v>0</v>
      </c>
      <c r="AX283" s="28">
        <f>I283*AP283</f>
        <v>0</v>
      </c>
      <c r="AY283" s="31" t="s">
        <v>1583</v>
      </c>
      <c r="AZ283" s="31" t="s">
        <v>1618</v>
      </c>
      <c r="BA283" s="27" t="s">
        <v>1628</v>
      </c>
      <c r="BC283" s="28">
        <f>AW283+AX283</f>
        <v>0</v>
      </c>
      <c r="BD283" s="28">
        <f>J283/(100-BE283)*100</f>
        <v>0</v>
      </c>
      <c r="BE283" s="28">
        <v>0</v>
      </c>
      <c r="BF283" s="28">
        <f>283</f>
        <v>283</v>
      </c>
      <c r="BH283" s="18">
        <f>I283*AO283</f>
        <v>0</v>
      </c>
      <c r="BI283" s="18">
        <f>I283*AP283</f>
        <v>0</v>
      </c>
      <c r="BJ283" s="18">
        <f>I283*J283</f>
        <v>0</v>
      </c>
      <c r="BK283" s="18" t="s">
        <v>1634</v>
      </c>
      <c r="BL283" s="28">
        <v>63</v>
      </c>
    </row>
    <row r="284" spans="1:15" ht="12.75">
      <c r="A284" s="3"/>
      <c r="D284" s="136" t="s">
        <v>790</v>
      </c>
      <c r="E284" s="137"/>
      <c r="F284" s="137"/>
      <c r="G284" s="137"/>
      <c r="H284" s="137"/>
      <c r="I284" s="137"/>
      <c r="J284" s="137"/>
      <c r="K284" s="137"/>
      <c r="L284" s="137"/>
      <c r="M284" s="137"/>
      <c r="N284" s="138"/>
      <c r="O284" s="3"/>
    </row>
    <row r="285" spans="1:15" ht="12.75">
      <c r="A285" s="89"/>
      <c r="B285" s="90"/>
      <c r="C285" s="90"/>
      <c r="D285" s="84" t="s">
        <v>655</v>
      </c>
      <c r="G285" s="91" t="s">
        <v>1341</v>
      </c>
      <c r="H285" s="90"/>
      <c r="I285" s="92">
        <v>23.795</v>
      </c>
      <c r="J285" s="90"/>
      <c r="K285" s="90"/>
      <c r="L285" s="90"/>
      <c r="M285" s="90"/>
      <c r="N285" s="79"/>
      <c r="O285" s="67"/>
    </row>
    <row r="286" spans="1:15" ht="12.75">
      <c r="A286" s="82"/>
      <c r="B286" s="83"/>
      <c r="C286" s="83"/>
      <c r="D286" s="85" t="s">
        <v>656</v>
      </c>
      <c r="G286" s="86" t="s">
        <v>1347</v>
      </c>
      <c r="H286" s="83"/>
      <c r="I286" s="88">
        <v>1.325</v>
      </c>
      <c r="J286" s="83"/>
      <c r="K286" s="83"/>
      <c r="L286" s="83"/>
      <c r="M286" s="83"/>
      <c r="N286" s="80"/>
      <c r="O286" s="67"/>
    </row>
    <row r="287" spans="1:15" ht="12.75">
      <c r="A287" s="3"/>
      <c r="C287" s="12" t="s">
        <v>296</v>
      </c>
      <c r="D287" s="142" t="s">
        <v>622</v>
      </c>
      <c r="E287" s="143"/>
      <c r="F287" s="143"/>
      <c r="G287" s="143"/>
      <c r="H287" s="143"/>
      <c r="I287" s="143"/>
      <c r="J287" s="143"/>
      <c r="K287" s="143"/>
      <c r="L287" s="143"/>
      <c r="M287" s="143"/>
      <c r="N287" s="144"/>
      <c r="O287" s="3"/>
    </row>
    <row r="288" spans="1:64" ht="12.75">
      <c r="A288" s="74" t="s">
        <v>67</v>
      </c>
      <c r="B288" s="74" t="s">
        <v>283</v>
      </c>
      <c r="C288" s="74" t="s">
        <v>351</v>
      </c>
      <c r="D288" s="133" t="s">
        <v>791</v>
      </c>
      <c r="E288" s="134"/>
      <c r="F288" s="134"/>
      <c r="G288" s="135"/>
      <c r="H288" s="74" t="s">
        <v>1535</v>
      </c>
      <c r="I288" s="75">
        <v>25.12</v>
      </c>
      <c r="J288" s="75">
        <v>0</v>
      </c>
      <c r="K288" s="75">
        <f>I288*AO288</f>
        <v>0</v>
      </c>
      <c r="L288" s="75">
        <f>I288*AP288</f>
        <v>0</v>
      </c>
      <c r="M288" s="75">
        <f>I288*J288</f>
        <v>0</v>
      </c>
      <c r="N288" s="78" t="s">
        <v>1556</v>
      </c>
      <c r="O288" s="67"/>
      <c r="Z288" s="28">
        <f>IF(AQ288="5",BJ288,0)</f>
        <v>0</v>
      </c>
      <c r="AB288" s="28">
        <f>IF(AQ288="1",BH288,0)</f>
        <v>0</v>
      </c>
      <c r="AC288" s="28">
        <f>IF(AQ288="1",BI288,0)</f>
        <v>0</v>
      </c>
      <c r="AD288" s="28">
        <f>IF(AQ288="7",BH288,0)</f>
        <v>0</v>
      </c>
      <c r="AE288" s="28">
        <f>IF(AQ288="7",BI288,0)</f>
        <v>0</v>
      </c>
      <c r="AF288" s="28">
        <f>IF(AQ288="2",BH288,0)</f>
        <v>0</v>
      </c>
      <c r="AG288" s="28">
        <f>IF(AQ288="2",BI288,0)</f>
        <v>0</v>
      </c>
      <c r="AH288" s="28">
        <f>IF(AQ288="0",BJ288,0)</f>
        <v>0</v>
      </c>
      <c r="AI288" s="27" t="s">
        <v>283</v>
      </c>
      <c r="AJ288" s="18">
        <f>IF(AN288=0,M288,0)</f>
        <v>0</v>
      </c>
      <c r="AK288" s="18">
        <f>IF(AN288=15,M288,0)</f>
        <v>0</v>
      </c>
      <c r="AL288" s="18">
        <f>IF(AN288=21,M288,0)</f>
        <v>0</v>
      </c>
      <c r="AN288" s="28">
        <v>15</v>
      </c>
      <c r="AO288" s="28">
        <f>J288*0.546139954853273</f>
        <v>0</v>
      </c>
      <c r="AP288" s="28">
        <f>J288*(1-0.546139954853273)</f>
        <v>0</v>
      </c>
      <c r="AQ288" s="29" t="s">
        <v>7</v>
      </c>
      <c r="AV288" s="28">
        <f>AW288+AX288</f>
        <v>0</v>
      </c>
      <c r="AW288" s="28">
        <f>I288*AO288</f>
        <v>0</v>
      </c>
      <c r="AX288" s="28">
        <f>I288*AP288</f>
        <v>0</v>
      </c>
      <c r="AY288" s="31" t="s">
        <v>1583</v>
      </c>
      <c r="AZ288" s="31" t="s">
        <v>1618</v>
      </c>
      <c r="BA288" s="27" t="s">
        <v>1628</v>
      </c>
      <c r="BC288" s="28">
        <f>AW288+AX288</f>
        <v>0</v>
      </c>
      <c r="BD288" s="28">
        <f>J288/(100-BE288)*100</f>
        <v>0</v>
      </c>
      <c r="BE288" s="28">
        <v>0</v>
      </c>
      <c r="BF288" s="28">
        <f>288</f>
        <v>288</v>
      </c>
      <c r="BH288" s="18">
        <f>I288*AO288</f>
        <v>0</v>
      </c>
      <c r="BI288" s="18">
        <f>I288*AP288</f>
        <v>0</v>
      </c>
      <c r="BJ288" s="18">
        <f>I288*J288</f>
        <v>0</v>
      </c>
      <c r="BK288" s="18" t="s">
        <v>1634</v>
      </c>
      <c r="BL288" s="28">
        <v>63</v>
      </c>
    </row>
    <row r="289" spans="1:15" ht="12.75">
      <c r="A289" s="3"/>
      <c r="D289" s="136" t="s">
        <v>792</v>
      </c>
      <c r="E289" s="137"/>
      <c r="F289" s="137"/>
      <c r="G289" s="137"/>
      <c r="H289" s="137"/>
      <c r="I289" s="137"/>
      <c r="J289" s="137"/>
      <c r="K289" s="137"/>
      <c r="L289" s="137"/>
      <c r="M289" s="137"/>
      <c r="N289" s="138"/>
      <c r="O289" s="3"/>
    </row>
    <row r="290" spans="1:15" ht="12.75">
      <c r="A290" s="89"/>
      <c r="B290" s="90"/>
      <c r="C290" s="90"/>
      <c r="D290" s="84" t="s">
        <v>655</v>
      </c>
      <c r="G290" s="91" t="s">
        <v>1341</v>
      </c>
      <c r="H290" s="90"/>
      <c r="I290" s="92">
        <v>23.795</v>
      </c>
      <c r="J290" s="90"/>
      <c r="K290" s="90"/>
      <c r="L290" s="90"/>
      <c r="M290" s="90"/>
      <c r="N290" s="79"/>
      <c r="O290" s="67"/>
    </row>
    <row r="291" spans="1:15" ht="12.75">
      <c r="A291" s="82"/>
      <c r="B291" s="83"/>
      <c r="C291" s="83"/>
      <c r="D291" s="85" t="s">
        <v>656</v>
      </c>
      <c r="G291" s="86" t="s">
        <v>1347</v>
      </c>
      <c r="H291" s="83"/>
      <c r="I291" s="88">
        <v>1.325</v>
      </c>
      <c r="J291" s="83"/>
      <c r="K291" s="83"/>
      <c r="L291" s="83"/>
      <c r="M291" s="83"/>
      <c r="N291" s="80"/>
      <c r="O291" s="67"/>
    </row>
    <row r="292" spans="1:15" ht="12.75">
      <c r="A292" s="3"/>
      <c r="C292" s="12" t="s">
        <v>296</v>
      </c>
      <c r="D292" s="142" t="s">
        <v>622</v>
      </c>
      <c r="E292" s="143"/>
      <c r="F292" s="143"/>
      <c r="G292" s="143"/>
      <c r="H292" s="143"/>
      <c r="I292" s="143"/>
      <c r="J292" s="143"/>
      <c r="K292" s="143"/>
      <c r="L292" s="143"/>
      <c r="M292" s="143"/>
      <c r="N292" s="144"/>
      <c r="O292" s="3"/>
    </row>
    <row r="293" spans="1:64" ht="12.75">
      <c r="A293" s="81" t="s">
        <v>68</v>
      </c>
      <c r="B293" s="81" t="s">
        <v>283</v>
      </c>
      <c r="C293" s="81" t="s">
        <v>352</v>
      </c>
      <c r="D293" s="139" t="s">
        <v>793</v>
      </c>
      <c r="E293" s="134"/>
      <c r="F293" s="134"/>
      <c r="G293" s="140"/>
      <c r="H293" s="81" t="s">
        <v>1535</v>
      </c>
      <c r="I293" s="87">
        <v>70.0955</v>
      </c>
      <c r="J293" s="87">
        <v>0</v>
      </c>
      <c r="K293" s="87">
        <f>I293*AO293</f>
        <v>0</v>
      </c>
      <c r="L293" s="87">
        <f>I293*AP293</f>
        <v>0</v>
      </c>
      <c r="M293" s="87">
        <f>I293*J293</f>
        <v>0</v>
      </c>
      <c r="N293" s="77" t="s">
        <v>1556</v>
      </c>
      <c r="O293" s="67"/>
      <c r="Z293" s="28">
        <f>IF(AQ293="5",BJ293,0)</f>
        <v>0</v>
      </c>
      <c r="AB293" s="28">
        <f>IF(AQ293="1",BH293,0)</f>
        <v>0</v>
      </c>
      <c r="AC293" s="28">
        <f>IF(AQ293="1",BI293,0)</f>
        <v>0</v>
      </c>
      <c r="AD293" s="28">
        <f>IF(AQ293="7",BH293,0)</f>
        <v>0</v>
      </c>
      <c r="AE293" s="28">
        <f>IF(AQ293="7",BI293,0)</f>
        <v>0</v>
      </c>
      <c r="AF293" s="28">
        <f>IF(AQ293="2",BH293,0)</f>
        <v>0</v>
      </c>
      <c r="AG293" s="28">
        <f>IF(AQ293="2",BI293,0)</f>
        <v>0</v>
      </c>
      <c r="AH293" s="28">
        <f>IF(AQ293="0",BJ293,0)</f>
        <v>0</v>
      </c>
      <c r="AI293" s="27" t="s">
        <v>283</v>
      </c>
      <c r="AJ293" s="18">
        <f>IF(AN293=0,M293,0)</f>
        <v>0</v>
      </c>
      <c r="AK293" s="18">
        <f>IF(AN293=15,M293,0)</f>
        <v>0</v>
      </c>
      <c r="AL293" s="18">
        <f>IF(AN293=21,M293,0)</f>
        <v>0</v>
      </c>
      <c r="AN293" s="28">
        <v>15</v>
      </c>
      <c r="AO293" s="28">
        <f>J293*0.573853558698306</f>
        <v>0</v>
      </c>
      <c r="AP293" s="28">
        <f>J293*(1-0.573853558698306)</f>
        <v>0</v>
      </c>
      <c r="AQ293" s="29" t="s">
        <v>7</v>
      </c>
      <c r="AV293" s="28">
        <f>AW293+AX293</f>
        <v>0</v>
      </c>
      <c r="AW293" s="28">
        <f>I293*AO293</f>
        <v>0</v>
      </c>
      <c r="AX293" s="28">
        <f>I293*AP293</f>
        <v>0</v>
      </c>
      <c r="AY293" s="31" t="s">
        <v>1583</v>
      </c>
      <c r="AZ293" s="31" t="s">
        <v>1618</v>
      </c>
      <c r="BA293" s="27" t="s">
        <v>1628</v>
      </c>
      <c r="BC293" s="28">
        <f>AW293+AX293</f>
        <v>0</v>
      </c>
      <c r="BD293" s="28">
        <f>J293/(100-BE293)*100</f>
        <v>0</v>
      </c>
      <c r="BE293" s="28">
        <v>0</v>
      </c>
      <c r="BF293" s="28">
        <f>293</f>
        <v>293</v>
      </c>
      <c r="BH293" s="18">
        <f>I293*AO293</f>
        <v>0</v>
      </c>
      <c r="BI293" s="18">
        <f>I293*AP293</f>
        <v>0</v>
      </c>
      <c r="BJ293" s="18">
        <f>I293*J293</f>
        <v>0</v>
      </c>
      <c r="BK293" s="18" t="s">
        <v>1634</v>
      </c>
      <c r="BL293" s="28">
        <v>63</v>
      </c>
    </row>
    <row r="294" spans="1:15" ht="12.75">
      <c r="A294" s="89"/>
      <c r="B294" s="90"/>
      <c r="C294" s="90"/>
      <c r="D294" s="84" t="s">
        <v>771</v>
      </c>
      <c r="G294" s="91" t="s">
        <v>1386</v>
      </c>
      <c r="H294" s="90"/>
      <c r="I294" s="92">
        <v>56.165</v>
      </c>
      <c r="J294" s="90"/>
      <c r="K294" s="90"/>
      <c r="L294" s="90"/>
      <c r="M294" s="90"/>
      <c r="N294" s="79"/>
      <c r="O294" s="67"/>
    </row>
    <row r="295" spans="1:15" ht="12.75">
      <c r="A295" s="82"/>
      <c r="B295" s="83"/>
      <c r="C295" s="83"/>
      <c r="D295" s="85" t="s">
        <v>772</v>
      </c>
      <c r="G295" s="86" t="s">
        <v>1387</v>
      </c>
      <c r="H295" s="83"/>
      <c r="I295" s="88">
        <v>13.9305</v>
      </c>
      <c r="J295" s="83"/>
      <c r="K295" s="83"/>
      <c r="L295" s="83"/>
      <c r="M295" s="83"/>
      <c r="N295" s="80"/>
      <c r="O295" s="67"/>
    </row>
    <row r="296" spans="1:15" ht="12.75">
      <c r="A296" s="3"/>
      <c r="C296" s="12" t="s">
        <v>296</v>
      </c>
      <c r="D296" s="142" t="s">
        <v>622</v>
      </c>
      <c r="E296" s="143"/>
      <c r="F296" s="143"/>
      <c r="G296" s="143"/>
      <c r="H296" s="143"/>
      <c r="I296" s="143"/>
      <c r="J296" s="143"/>
      <c r="K296" s="143"/>
      <c r="L296" s="143"/>
      <c r="M296" s="143"/>
      <c r="N296" s="144"/>
      <c r="O296" s="3"/>
    </row>
    <row r="297" spans="1:64" ht="12.75">
      <c r="A297" s="81" t="s">
        <v>69</v>
      </c>
      <c r="B297" s="81" t="s">
        <v>283</v>
      </c>
      <c r="C297" s="81" t="s">
        <v>353</v>
      </c>
      <c r="D297" s="139" t="s">
        <v>794</v>
      </c>
      <c r="E297" s="134"/>
      <c r="F297" s="134"/>
      <c r="G297" s="140"/>
      <c r="H297" s="81" t="s">
        <v>1535</v>
      </c>
      <c r="I297" s="87">
        <v>24.24</v>
      </c>
      <c r="J297" s="87">
        <v>0</v>
      </c>
      <c r="K297" s="87">
        <f>I297*AO297</f>
        <v>0</v>
      </c>
      <c r="L297" s="87">
        <f>I297*AP297</f>
        <v>0</v>
      </c>
      <c r="M297" s="87">
        <f>I297*J297</f>
        <v>0</v>
      </c>
      <c r="N297" s="77" t="s">
        <v>1556</v>
      </c>
      <c r="O297" s="67"/>
      <c r="Z297" s="28">
        <f>IF(AQ297="5",BJ297,0)</f>
        <v>0</v>
      </c>
      <c r="AB297" s="28">
        <f>IF(AQ297="1",BH297,0)</f>
        <v>0</v>
      </c>
      <c r="AC297" s="28">
        <f>IF(AQ297="1",BI297,0)</f>
        <v>0</v>
      </c>
      <c r="AD297" s="28">
        <f>IF(AQ297="7",BH297,0)</f>
        <v>0</v>
      </c>
      <c r="AE297" s="28">
        <f>IF(AQ297="7",BI297,0)</f>
        <v>0</v>
      </c>
      <c r="AF297" s="28">
        <f>IF(AQ297="2",BH297,0)</f>
        <v>0</v>
      </c>
      <c r="AG297" s="28">
        <f>IF(AQ297="2",BI297,0)</f>
        <v>0</v>
      </c>
      <c r="AH297" s="28">
        <f>IF(AQ297="0",BJ297,0)</f>
        <v>0</v>
      </c>
      <c r="AI297" s="27" t="s">
        <v>283</v>
      </c>
      <c r="AJ297" s="18">
        <f>IF(AN297=0,M297,0)</f>
        <v>0</v>
      </c>
      <c r="AK297" s="18">
        <f>IF(AN297=15,M297,0)</f>
        <v>0</v>
      </c>
      <c r="AL297" s="18">
        <f>IF(AN297=21,M297,0)</f>
        <v>0</v>
      </c>
      <c r="AN297" s="28">
        <v>15</v>
      </c>
      <c r="AO297" s="28">
        <f>J297*0.415660130718954</f>
        <v>0</v>
      </c>
      <c r="AP297" s="28">
        <f>J297*(1-0.415660130718954)</f>
        <v>0</v>
      </c>
      <c r="AQ297" s="29" t="s">
        <v>7</v>
      </c>
      <c r="AV297" s="28">
        <f>AW297+AX297</f>
        <v>0</v>
      </c>
      <c r="AW297" s="28">
        <f>I297*AO297</f>
        <v>0</v>
      </c>
      <c r="AX297" s="28">
        <f>I297*AP297</f>
        <v>0</v>
      </c>
      <c r="AY297" s="31" t="s">
        <v>1583</v>
      </c>
      <c r="AZ297" s="31" t="s">
        <v>1618</v>
      </c>
      <c r="BA297" s="27" t="s">
        <v>1628</v>
      </c>
      <c r="BC297" s="28">
        <f>AW297+AX297</f>
        <v>0</v>
      </c>
      <c r="BD297" s="28">
        <f>J297/(100-BE297)*100</f>
        <v>0</v>
      </c>
      <c r="BE297" s="28">
        <v>0</v>
      </c>
      <c r="BF297" s="28">
        <f>297</f>
        <v>297</v>
      </c>
      <c r="BH297" s="18">
        <f>I297*AO297</f>
        <v>0</v>
      </c>
      <c r="BI297" s="18">
        <f>I297*AP297</f>
        <v>0</v>
      </c>
      <c r="BJ297" s="18">
        <f>I297*J297</f>
        <v>0</v>
      </c>
      <c r="BK297" s="18" t="s">
        <v>1634</v>
      </c>
      <c r="BL297" s="28">
        <v>63</v>
      </c>
    </row>
    <row r="298" spans="1:15" ht="12.75">
      <c r="A298" s="82"/>
      <c r="B298" s="83"/>
      <c r="C298" s="83"/>
      <c r="D298" s="85" t="s">
        <v>795</v>
      </c>
      <c r="G298" s="86" t="s">
        <v>1391</v>
      </c>
      <c r="H298" s="83"/>
      <c r="I298" s="88">
        <v>24.24</v>
      </c>
      <c r="J298" s="83"/>
      <c r="K298" s="83"/>
      <c r="L298" s="83"/>
      <c r="M298" s="83"/>
      <c r="N298" s="80"/>
      <c r="O298" s="67"/>
    </row>
    <row r="299" spans="1:15" ht="12.75">
      <c r="A299" s="3"/>
      <c r="C299" s="13" t="s">
        <v>302</v>
      </c>
      <c r="D299" s="145" t="s">
        <v>796</v>
      </c>
      <c r="E299" s="146"/>
      <c r="F299" s="146"/>
      <c r="G299" s="146"/>
      <c r="H299" s="146"/>
      <c r="I299" s="146"/>
      <c r="J299" s="146"/>
      <c r="K299" s="146"/>
      <c r="L299" s="146"/>
      <c r="M299" s="146"/>
      <c r="N299" s="147"/>
      <c r="O299" s="3"/>
    </row>
    <row r="300" spans="1:15" ht="12.75">
      <c r="A300" s="3"/>
      <c r="C300" s="12" t="s">
        <v>296</v>
      </c>
      <c r="D300" s="142" t="s">
        <v>622</v>
      </c>
      <c r="E300" s="143"/>
      <c r="F300" s="143"/>
      <c r="G300" s="143"/>
      <c r="H300" s="143"/>
      <c r="I300" s="143"/>
      <c r="J300" s="143"/>
      <c r="K300" s="143"/>
      <c r="L300" s="143"/>
      <c r="M300" s="143"/>
      <c r="N300" s="144"/>
      <c r="O300" s="3"/>
    </row>
    <row r="301" spans="1:47" ht="12.75">
      <c r="A301" s="72"/>
      <c r="B301" s="73" t="s">
        <v>283</v>
      </c>
      <c r="C301" s="73" t="s">
        <v>70</v>
      </c>
      <c r="D301" s="130" t="s">
        <v>797</v>
      </c>
      <c r="E301" s="131"/>
      <c r="F301" s="131"/>
      <c r="G301" s="132"/>
      <c r="H301" s="72" t="s">
        <v>6</v>
      </c>
      <c r="I301" s="72" t="s">
        <v>6</v>
      </c>
      <c r="J301" s="72" t="s">
        <v>6</v>
      </c>
      <c r="K301" s="76">
        <f>SUM(K302:K302)</f>
        <v>0</v>
      </c>
      <c r="L301" s="76">
        <f>SUM(L302:L302)</f>
        <v>0</v>
      </c>
      <c r="M301" s="76">
        <f>SUM(M302:M302)</f>
        <v>0</v>
      </c>
      <c r="N301" s="71"/>
      <c r="O301" s="67"/>
      <c r="AI301" s="27" t="s">
        <v>283</v>
      </c>
      <c r="AS301" s="33">
        <f>SUM(AJ302:AJ302)</f>
        <v>0</v>
      </c>
      <c r="AT301" s="33">
        <f>SUM(AK302:AK302)</f>
        <v>0</v>
      </c>
      <c r="AU301" s="33">
        <f>SUM(AL302:AL302)</f>
        <v>0</v>
      </c>
    </row>
    <row r="302" spans="1:64" ht="12.75">
      <c r="A302" s="74" t="s">
        <v>70</v>
      </c>
      <c r="B302" s="74" t="s">
        <v>283</v>
      </c>
      <c r="C302" s="74" t="s">
        <v>354</v>
      </c>
      <c r="D302" s="133" t="s">
        <v>798</v>
      </c>
      <c r="E302" s="134"/>
      <c r="F302" s="134"/>
      <c r="G302" s="135"/>
      <c r="H302" s="74" t="s">
        <v>1539</v>
      </c>
      <c r="I302" s="75">
        <v>88.5</v>
      </c>
      <c r="J302" s="75">
        <v>0</v>
      </c>
      <c r="K302" s="75">
        <f>I302*AO302</f>
        <v>0</v>
      </c>
      <c r="L302" s="75">
        <f>I302*AP302</f>
        <v>0</v>
      </c>
      <c r="M302" s="75">
        <f>I302*J302</f>
        <v>0</v>
      </c>
      <c r="N302" s="78" t="s">
        <v>1556</v>
      </c>
      <c r="O302" s="67"/>
      <c r="Z302" s="28">
        <f>IF(AQ302="5",BJ302,0)</f>
        <v>0</v>
      </c>
      <c r="AB302" s="28">
        <f>IF(AQ302="1",BH302,0)</f>
        <v>0</v>
      </c>
      <c r="AC302" s="28">
        <f>IF(AQ302="1",BI302,0)</f>
        <v>0</v>
      </c>
      <c r="AD302" s="28">
        <f>IF(AQ302="7",BH302,0)</f>
        <v>0</v>
      </c>
      <c r="AE302" s="28">
        <f>IF(AQ302="7",BI302,0)</f>
        <v>0</v>
      </c>
      <c r="AF302" s="28">
        <f>IF(AQ302="2",BH302,0)</f>
        <v>0</v>
      </c>
      <c r="AG302" s="28">
        <f>IF(AQ302="2",BI302,0)</f>
        <v>0</v>
      </c>
      <c r="AH302" s="28">
        <f>IF(AQ302="0",BJ302,0)</f>
        <v>0</v>
      </c>
      <c r="AI302" s="27" t="s">
        <v>283</v>
      </c>
      <c r="AJ302" s="18">
        <f>IF(AN302=0,M302,0)</f>
        <v>0</v>
      </c>
      <c r="AK302" s="18">
        <f>IF(AN302=15,M302,0)</f>
        <v>0</v>
      </c>
      <c r="AL302" s="18">
        <f>IF(AN302=21,M302,0)</f>
        <v>0</v>
      </c>
      <c r="AN302" s="28">
        <v>15</v>
      </c>
      <c r="AO302" s="28">
        <f>J302*0.65752</f>
        <v>0</v>
      </c>
      <c r="AP302" s="28">
        <f>J302*(1-0.65752)</f>
        <v>0</v>
      </c>
      <c r="AQ302" s="29" t="s">
        <v>7</v>
      </c>
      <c r="AV302" s="28">
        <f>AW302+AX302</f>
        <v>0</v>
      </c>
      <c r="AW302" s="28">
        <f>I302*AO302</f>
        <v>0</v>
      </c>
      <c r="AX302" s="28">
        <f>I302*AP302</f>
        <v>0</v>
      </c>
      <c r="AY302" s="31" t="s">
        <v>1584</v>
      </c>
      <c r="AZ302" s="31" t="s">
        <v>1618</v>
      </c>
      <c r="BA302" s="27" t="s">
        <v>1628</v>
      </c>
      <c r="BC302" s="28">
        <f>AW302+AX302</f>
        <v>0</v>
      </c>
      <c r="BD302" s="28">
        <f>J302/(100-BE302)*100</f>
        <v>0</v>
      </c>
      <c r="BE302" s="28">
        <v>0</v>
      </c>
      <c r="BF302" s="28">
        <f>302</f>
        <v>302</v>
      </c>
      <c r="BH302" s="18">
        <f>I302*AO302</f>
        <v>0</v>
      </c>
      <c r="BI302" s="18">
        <f>I302*AP302</f>
        <v>0</v>
      </c>
      <c r="BJ302" s="18">
        <f>I302*J302</f>
        <v>0</v>
      </c>
      <c r="BK302" s="18" t="s">
        <v>1634</v>
      </c>
      <c r="BL302" s="28">
        <v>64</v>
      </c>
    </row>
    <row r="303" spans="1:15" ht="12.75">
      <c r="A303" s="3"/>
      <c r="D303" s="136" t="s">
        <v>799</v>
      </c>
      <c r="E303" s="137"/>
      <c r="F303" s="137"/>
      <c r="G303" s="137"/>
      <c r="H303" s="137"/>
      <c r="I303" s="137"/>
      <c r="J303" s="137"/>
      <c r="K303" s="137"/>
      <c r="L303" s="137"/>
      <c r="M303" s="137"/>
      <c r="N303" s="138"/>
      <c r="O303" s="3"/>
    </row>
    <row r="304" spans="1:15" ht="12.75">
      <c r="A304" s="89"/>
      <c r="B304" s="90"/>
      <c r="C304" s="90"/>
      <c r="D304" s="84" t="s">
        <v>800</v>
      </c>
      <c r="G304" s="91" t="s">
        <v>1392</v>
      </c>
      <c r="H304" s="90"/>
      <c r="I304" s="92">
        <v>26.4</v>
      </c>
      <c r="J304" s="90"/>
      <c r="K304" s="90"/>
      <c r="L304" s="90"/>
      <c r="M304" s="90"/>
      <c r="N304" s="79"/>
      <c r="O304" s="67"/>
    </row>
    <row r="305" spans="1:15" ht="12.75">
      <c r="A305" s="89"/>
      <c r="B305" s="90"/>
      <c r="C305" s="90"/>
      <c r="D305" s="84" t="s">
        <v>801</v>
      </c>
      <c r="G305" s="91" t="s">
        <v>1393</v>
      </c>
      <c r="H305" s="90"/>
      <c r="I305" s="92">
        <v>3.6</v>
      </c>
      <c r="J305" s="90"/>
      <c r="K305" s="90"/>
      <c r="L305" s="90"/>
      <c r="M305" s="90"/>
      <c r="N305" s="79"/>
      <c r="O305" s="67"/>
    </row>
    <row r="306" spans="1:15" ht="12.75">
      <c r="A306" s="89"/>
      <c r="B306" s="90"/>
      <c r="C306" s="90"/>
      <c r="D306" s="84" t="s">
        <v>802</v>
      </c>
      <c r="G306" s="91" t="s">
        <v>1394</v>
      </c>
      <c r="H306" s="90"/>
      <c r="I306" s="92">
        <v>2.4</v>
      </c>
      <c r="J306" s="90"/>
      <c r="K306" s="90"/>
      <c r="L306" s="90"/>
      <c r="M306" s="90"/>
      <c r="N306" s="79"/>
      <c r="O306" s="67"/>
    </row>
    <row r="307" spans="1:15" ht="12.75">
      <c r="A307" s="89"/>
      <c r="B307" s="90"/>
      <c r="C307" s="90"/>
      <c r="D307" s="84" t="s">
        <v>803</v>
      </c>
      <c r="G307" s="91" t="s">
        <v>1395</v>
      </c>
      <c r="H307" s="90"/>
      <c r="I307" s="92">
        <v>4.5</v>
      </c>
      <c r="J307" s="90"/>
      <c r="K307" s="90"/>
      <c r="L307" s="90"/>
      <c r="M307" s="90"/>
      <c r="N307" s="79"/>
      <c r="O307" s="67"/>
    </row>
    <row r="308" spans="1:15" ht="12.75">
      <c r="A308" s="89"/>
      <c r="B308" s="90"/>
      <c r="C308" s="90"/>
      <c r="D308" s="84" t="s">
        <v>804</v>
      </c>
      <c r="G308" s="91" t="s">
        <v>1396</v>
      </c>
      <c r="H308" s="90"/>
      <c r="I308" s="92">
        <v>18</v>
      </c>
      <c r="J308" s="90"/>
      <c r="K308" s="90"/>
      <c r="L308" s="90"/>
      <c r="M308" s="90"/>
      <c r="N308" s="79"/>
      <c r="O308" s="67"/>
    </row>
    <row r="309" spans="1:15" ht="12.75">
      <c r="A309" s="89"/>
      <c r="B309" s="90"/>
      <c r="C309" s="90"/>
      <c r="D309" s="84" t="s">
        <v>805</v>
      </c>
      <c r="G309" s="91" t="s">
        <v>1397</v>
      </c>
      <c r="H309" s="90"/>
      <c r="I309" s="92">
        <v>1.2</v>
      </c>
      <c r="J309" s="90"/>
      <c r="K309" s="90"/>
      <c r="L309" s="90"/>
      <c r="M309" s="90"/>
      <c r="N309" s="79"/>
      <c r="O309" s="67"/>
    </row>
    <row r="310" spans="1:15" ht="12.75">
      <c r="A310" s="89"/>
      <c r="B310" s="90"/>
      <c r="C310" s="90"/>
      <c r="D310" s="84" t="s">
        <v>806</v>
      </c>
      <c r="G310" s="91" t="s">
        <v>1398</v>
      </c>
      <c r="H310" s="90"/>
      <c r="I310" s="92">
        <v>1.2</v>
      </c>
      <c r="J310" s="90"/>
      <c r="K310" s="90"/>
      <c r="L310" s="90"/>
      <c r="M310" s="90"/>
      <c r="N310" s="79"/>
      <c r="O310" s="67"/>
    </row>
    <row r="311" spans="1:15" ht="12.75">
      <c r="A311" s="89"/>
      <c r="B311" s="90"/>
      <c r="C311" s="90"/>
      <c r="D311" s="84" t="s">
        <v>807</v>
      </c>
      <c r="G311" s="91" t="s">
        <v>1399</v>
      </c>
      <c r="H311" s="90"/>
      <c r="I311" s="92">
        <v>19.2</v>
      </c>
      <c r="J311" s="90"/>
      <c r="K311" s="90"/>
      <c r="L311" s="90"/>
      <c r="M311" s="90"/>
      <c r="N311" s="79"/>
      <c r="O311" s="67"/>
    </row>
    <row r="312" spans="1:15" ht="12.75">
      <c r="A312" s="82"/>
      <c r="B312" s="83"/>
      <c r="C312" s="83"/>
      <c r="D312" s="85" t="s">
        <v>808</v>
      </c>
      <c r="G312" s="86" t="s">
        <v>1400</v>
      </c>
      <c r="H312" s="83"/>
      <c r="I312" s="88">
        <v>12</v>
      </c>
      <c r="J312" s="83"/>
      <c r="K312" s="83"/>
      <c r="L312" s="83"/>
      <c r="M312" s="83"/>
      <c r="N312" s="80"/>
      <c r="O312" s="67"/>
    </row>
    <row r="313" spans="1:15" ht="12.75">
      <c r="A313" s="3"/>
      <c r="C313" s="13" t="s">
        <v>302</v>
      </c>
      <c r="D313" s="145" t="s">
        <v>809</v>
      </c>
      <c r="E313" s="146"/>
      <c r="F313" s="146"/>
      <c r="G313" s="146"/>
      <c r="H313" s="146"/>
      <c r="I313" s="146"/>
      <c r="J313" s="146"/>
      <c r="K313" s="146"/>
      <c r="L313" s="146"/>
      <c r="M313" s="146"/>
      <c r="N313" s="147"/>
      <c r="O313" s="3"/>
    </row>
    <row r="314" spans="1:15" ht="12.75">
      <c r="A314" s="3"/>
      <c r="C314" s="12" t="s">
        <v>296</v>
      </c>
      <c r="D314" s="142" t="s">
        <v>810</v>
      </c>
      <c r="E314" s="143"/>
      <c r="F314" s="143"/>
      <c r="G314" s="143"/>
      <c r="H314" s="143"/>
      <c r="I314" s="143"/>
      <c r="J314" s="143"/>
      <c r="K314" s="143"/>
      <c r="L314" s="143"/>
      <c r="M314" s="143"/>
      <c r="N314" s="144"/>
      <c r="O314" s="3"/>
    </row>
    <row r="315" spans="1:47" ht="12.75">
      <c r="A315" s="72"/>
      <c r="B315" s="73" t="s">
        <v>283</v>
      </c>
      <c r="C315" s="73" t="s">
        <v>355</v>
      </c>
      <c r="D315" s="130" t="s">
        <v>811</v>
      </c>
      <c r="E315" s="131"/>
      <c r="F315" s="131"/>
      <c r="G315" s="132"/>
      <c r="H315" s="72" t="s">
        <v>6</v>
      </c>
      <c r="I315" s="72" t="s">
        <v>6</v>
      </c>
      <c r="J315" s="72" t="s">
        <v>6</v>
      </c>
      <c r="K315" s="76">
        <f>SUM(K316:K343)</f>
        <v>0</v>
      </c>
      <c r="L315" s="76">
        <f>SUM(L316:L343)</f>
        <v>0</v>
      </c>
      <c r="M315" s="76">
        <f>SUM(M316:M343)</f>
        <v>0</v>
      </c>
      <c r="N315" s="71"/>
      <c r="O315" s="67"/>
      <c r="AI315" s="27" t="s">
        <v>283</v>
      </c>
      <c r="AS315" s="33">
        <f>SUM(AJ316:AJ343)</f>
        <v>0</v>
      </c>
      <c r="AT315" s="33">
        <f>SUM(AK316:AK343)</f>
        <v>0</v>
      </c>
      <c r="AU315" s="33">
        <f>SUM(AL316:AL343)</f>
        <v>0</v>
      </c>
    </row>
    <row r="316" spans="1:64" ht="12.75">
      <c r="A316" s="74" t="s">
        <v>71</v>
      </c>
      <c r="B316" s="74" t="s">
        <v>283</v>
      </c>
      <c r="C316" s="74" t="s">
        <v>356</v>
      </c>
      <c r="D316" s="133" t="s">
        <v>812</v>
      </c>
      <c r="E316" s="134"/>
      <c r="F316" s="134"/>
      <c r="G316" s="135"/>
      <c r="H316" s="74" t="s">
        <v>1535</v>
      </c>
      <c r="I316" s="75">
        <v>39.771</v>
      </c>
      <c r="J316" s="75">
        <v>0</v>
      </c>
      <c r="K316" s="75">
        <f>I316*AO316</f>
        <v>0</v>
      </c>
      <c r="L316" s="75">
        <f>I316*AP316</f>
        <v>0</v>
      </c>
      <c r="M316" s="75">
        <f>I316*J316</f>
        <v>0</v>
      </c>
      <c r="N316" s="78" t="s">
        <v>1556</v>
      </c>
      <c r="O316" s="67"/>
      <c r="Z316" s="28">
        <f>IF(AQ316="5",BJ316,0)</f>
        <v>0</v>
      </c>
      <c r="AB316" s="28">
        <f>IF(AQ316="1",BH316,0)</f>
        <v>0</v>
      </c>
      <c r="AC316" s="28">
        <f>IF(AQ316="1",BI316,0)</f>
        <v>0</v>
      </c>
      <c r="AD316" s="28">
        <f>IF(AQ316="7",BH316,0)</f>
        <v>0</v>
      </c>
      <c r="AE316" s="28">
        <f>IF(AQ316="7",BI316,0)</f>
        <v>0</v>
      </c>
      <c r="AF316" s="28">
        <f>IF(AQ316="2",BH316,0)</f>
        <v>0</v>
      </c>
      <c r="AG316" s="28">
        <f>IF(AQ316="2",BI316,0)</f>
        <v>0</v>
      </c>
      <c r="AH316" s="28">
        <f>IF(AQ316="0",BJ316,0)</f>
        <v>0</v>
      </c>
      <c r="AI316" s="27" t="s">
        <v>283</v>
      </c>
      <c r="AJ316" s="18">
        <f>IF(AN316=0,M316,0)</f>
        <v>0</v>
      </c>
      <c r="AK316" s="18">
        <f>IF(AN316=15,M316,0)</f>
        <v>0</v>
      </c>
      <c r="AL316" s="18">
        <f>IF(AN316=21,M316,0)</f>
        <v>0</v>
      </c>
      <c r="AN316" s="28">
        <v>15</v>
      </c>
      <c r="AO316" s="28">
        <f>J316*0.491020156200289</f>
        <v>0</v>
      </c>
      <c r="AP316" s="28">
        <f>J316*(1-0.491020156200289)</f>
        <v>0</v>
      </c>
      <c r="AQ316" s="29" t="s">
        <v>13</v>
      </c>
      <c r="AV316" s="28">
        <f>AW316+AX316</f>
        <v>0</v>
      </c>
      <c r="AW316" s="28">
        <f>I316*AO316</f>
        <v>0</v>
      </c>
      <c r="AX316" s="28">
        <f>I316*AP316</f>
        <v>0</v>
      </c>
      <c r="AY316" s="31" t="s">
        <v>1585</v>
      </c>
      <c r="AZ316" s="31" t="s">
        <v>1619</v>
      </c>
      <c r="BA316" s="27" t="s">
        <v>1628</v>
      </c>
      <c r="BC316" s="28">
        <f>AW316+AX316</f>
        <v>0</v>
      </c>
      <c r="BD316" s="28">
        <f>J316/(100-BE316)*100</f>
        <v>0</v>
      </c>
      <c r="BE316" s="28">
        <v>0</v>
      </c>
      <c r="BF316" s="28">
        <f>316</f>
        <v>316</v>
      </c>
      <c r="BH316" s="18">
        <f>I316*AO316</f>
        <v>0</v>
      </c>
      <c r="BI316" s="18">
        <f>I316*AP316</f>
        <v>0</v>
      </c>
      <c r="BJ316" s="18">
        <f>I316*J316</f>
        <v>0</v>
      </c>
      <c r="BK316" s="18" t="s">
        <v>1634</v>
      </c>
      <c r="BL316" s="28">
        <v>711</v>
      </c>
    </row>
    <row r="317" spans="1:15" ht="12.75">
      <c r="A317" s="3"/>
      <c r="D317" s="136" t="s">
        <v>813</v>
      </c>
      <c r="E317" s="137"/>
      <c r="F317" s="137"/>
      <c r="G317" s="137"/>
      <c r="H317" s="137"/>
      <c r="I317" s="137"/>
      <c r="J317" s="137"/>
      <c r="K317" s="137"/>
      <c r="L317" s="137"/>
      <c r="M317" s="137"/>
      <c r="N317" s="138"/>
      <c r="O317" s="3"/>
    </row>
    <row r="318" spans="1:15" ht="12.75">
      <c r="A318" s="89"/>
      <c r="B318" s="90"/>
      <c r="C318" s="90"/>
      <c r="D318" s="84" t="s">
        <v>725</v>
      </c>
      <c r="G318" s="91" t="s">
        <v>1335</v>
      </c>
      <c r="H318" s="90"/>
      <c r="I318" s="92">
        <v>30.279</v>
      </c>
      <c r="J318" s="90"/>
      <c r="K318" s="90"/>
      <c r="L318" s="90"/>
      <c r="M318" s="90"/>
      <c r="N318" s="79"/>
      <c r="O318" s="67"/>
    </row>
    <row r="319" spans="1:15" ht="12.75">
      <c r="A319" s="82"/>
      <c r="B319" s="83"/>
      <c r="C319" s="83"/>
      <c r="D319" s="85" t="s">
        <v>726</v>
      </c>
      <c r="G319" s="86" t="s">
        <v>1371</v>
      </c>
      <c r="H319" s="83"/>
      <c r="I319" s="88">
        <v>9.492</v>
      </c>
      <c r="J319" s="83"/>
      <c r="K319" s="83"/>
      <c r="L319" s="83"/>
      <c r="M319" s="83"/>
      <c r="N319" s="80"/>
      <c r="O319" s="67"/>
    </row>
    <row r="320" spans="1:15" ht="12.75">
      <c r="A320" s="3"/>
      <c r="C320" s="12" t="s">
        <v>296</v>
      </c>
      <c r="D320" s="142" t="s">
        <v>622</v>
      </c>
      <c r="E320" s="143"/>
      <c r="F320" s="143"/>
      <c r="G320" s="143"/>
      <c r="H320" s="143"/>
      <c r="I320" s="143"/>
      <c r="J320" s="143"/>
      <c r="K320" s="143"/>
      <c r="L320" s="143"/>
      <c r="M320" s="143"/>
      <c r="N320" s="144"/>
      <c r="O320" s="3"/>
    </row>
    <row r="321" spans="1:64" ht="12.75">
      <c r="A321" s="81" t="s">
        <v>72</v>
      </c>
      <c r="B321" s="81" t="s">
        <v>283</v>
      </c>
      <c r="C321" s="81" t="s">
        <v>357</v>
      </c>
      <c r="D321" s="139" t="s">
        <v>814</v>
      </c>
      <c r="E321" s="134"/>
      <c r="F321" s="134"/>
      <c r="G321" s="140"/>
      <c r="H321" s="81" t="s">
        <v>1535</v>
      </c>
      <c r="I321" s="87">
        <v>39.771</v>
      </c>
      <c r="J321" s="87">
        <v>0</v>
      </c>
      <c r="K321" s="87">
        <f>I321*AO321</f>
        <v>0</v>
      </c>
      <c r="L321" s="87">
        <f>I321*AP321</f>
        <v>0</v>
      </c>
      <c r="M321" s="87">
        <f>I321*J321</f>
        <v>0</v>
      </c>
      <c r="N321" s="77" t="s">
        <v>1556</v>
      </c>
      <c r="O321" s="67"/>
      <c r="Z321" s="28">
        <f>IF(AQ321="5",BJ321,0)</f>
        <v>0</v>
      </c>
      <c r="AB321" s="28">
        <f>IF(AQ321="1",BH321,0)</f>
        <v>0</v>
      </c>
      <c r="AC321" s="28">
        <f>IF(AQ321="1",BI321,0)</f>
        <v>0</v>
      </c>
      <c r="AD321" s="28">
        <f>IF(AQ321="7",BH321,0)</f>
        <v>0</v>
      </c>
      <c r="AE321" s="28">
        <f>IF(AQ321="7",BI321,0)</f>
        <v>0</v>
      </c>
      <c r="AF321" s="28">
        <f>IF(AQ321="2",BH321,0)</f>
        <v>0</v>
      </c>
      <c r="AG321" s="28">
        <f>IF(AQ321="2",BI321,0)</f>
        <v>0</v>
      </c>
      <c r="AH321" s="28">
        <f>IF(AQ321="0",BJ321,0)</f>
        <v>0</v>
      </c>
      <c r="AI321" s="27" t="s">
        <v>283</v>
      </c>
      <c r="AJ321" s="18">
        <f>IF(AN321=0,M321,0)</f>
        <v>0</v>
      </c>
      <c r="AK321" s="18">
        <f>IF(AN321=15,M321,0)</f>
        <v>0</v>
      </c>
      <c r="AL321" s="18">
        <f>IF(AN321=21,M321,0)</f>
        <v>0</v>
      </c>
      <c r="AN321" s="28">
        <v>15</v>
      </c>
      <c r="AO321" s="28">
        <f>J321*0.599102399236133</f>
        <v>0</v>
      </c>
      <c r="AP321" s="28">
        <f>J321*(1-0.599102399236133)</f>
        <v>0</v>
      </c>
      <c r="AQ321" s="29" t="s">
        <v>13</v>
      </c>
      <c r="AV321" s="28">
        <f>AW321+AX321</f>
        <v>0</v>
      </c>
      <c r="AW321" s="28">
        <f>I321*AO321</f>
        <v>0</v>
      </c>
      <c r="AX321" s="28">
        <f>I321*AP321</f>
        <v>0</v>
      </c>
      <c r="AY321" s="31" t="s">
        <v>1585</v>
      </c>
      <c r="AZ321" s="31" t="s">
        <v>1619</v>
      </c>
      <c r="BA321" s="27" t="s">
        <v>1628</v>
      </c>
      <c r="BC321" s="28">
        <f>AW321+AX321</f>
        <v>0</v>
      </c>
      <c r="BD321" s="28">
        <f>J321/(100-BE321)*100</f>
        <v>0</v>
      </c>
      <c r="BE321" s="28">
        <v>0</v>
      </c>
      <c r="BF321" s="28">
        <f>321</f>
        <v>321</v>
      </c>
      <c r="BH321" s="18">
        <f>I321*AO321</f>
        <v>0</v>
      </c>
      <c r="BI321" s="18">
        <f>I321*AP321</f>
        <v>0</v>
      </c>
      <c r="BJ321" s="18">
        <f>I321*J321</f>
        <v>0</v>
      </c>
      <c r="BK321" s="18" t="s">
        <v>1634</v>
      </c>
      <c r="BL321" s="28">
        <v>711</v>
      </c>
    </row>
    <row r="322" spans="1:15" ht="12.75">
      <c r="A322" s="89"/>
      <c r="B322" s="90"/>
      <c r="C322" s="90"/>
      <c r="D322" s="84" t="s">
        <v>725</v>
      </c>
      <c r="G322" s="91" t="s">
        <v>1335</v>
      </c>
      <c r="H322" s="90"/>
      <c r="I322" s="92">
        <v>30.279</v>
      </c>
      <c r="J322" s="90"/>
      <c r="K322" s="90"/>
      <c r="L322" s="90"/>
      <c r="M322" s="90"/>
      <c r="N322" s="79"/>
      <c r="O322" s="67"/>
    </row>
    <row r="323" spans="1:15" ht="12.75">
      <c r="A323" s="82"/>
      <c r="B323" s="83"/>
      <c r="C323" s="83"/>
      <c r="D323" s="85" t="s">
        <v>726</v>
      </c>
      <c r="G323" s="86" t="s">
        <v>1371</v>
      </c>
      <c r="H323" s="83"/>
      <c r="I323" s="88">
        <v>9.492</v>
      </c>
      <c r="J323" s="83"/>
      <c r="K323" s="83"/>
      <c r="L323" s="83"/>
      <c r="M323" s="83"/>
      <c r="N323" s="80"/>
      <c r="O323" s="67"/>
    </row>
    <row r="324" spans="1:15" ht="12.75">
      <c r="A324" s="3"/>
      <c r="C324" s="12" t="s">
        <v>296</v>
      </c>
      <c r="D324" s="142" t="s">
        <v>622</v>
      </c>
      <c r="E324" s="143"/>
      <c r="F324" s="143"/>
      <c r="G324" s="143"/>
      <c r="H324" s="143"/>
      <c r="I324" s="143"/>
      <c r="J324" s="143"/>
      <c r="K324" s="143"/>
      <c r="L324" s="143"/>
      <c r="M324" s="143"/>
      <c r="N324" s="144"/>
      <c r="O324" s="3"/>
    </row>
    <row r="325" spans="1:64" ht="12.75">
      <c r="A325" s="74" t="s">
        <v>73</v>
      </c>
      <c r="B325" s="74" t="s">
        <v>283</v>
      </c>
      <c r="C325" s="74" t="s">
        <v>358</v>
      </c>
      <c r="D325" s="133" t="s">
        <v>815</v>
      </c>
      <c r="E325" s="134"/>
      <c r="F325" s="134"/>
      <c r="G325" s="135"/>
      <c r="H325" s="74" t="s">
        <v>1535</v>
      </c>
      <c r="I325" s="75">
        <v>47.7252</v>
      </c>
      <c r="J325" s="75">
        <v>0</v>
      </c>
      <c r="K325" s="75">
        <f>I325*AO325</f>
        <v>0</v>
      </c>
      <c r="L325" s="75">
        <f>I325*AP325</f>
        <v>0</v>
      </c>
      <c r="M325" s="75">
        <f>I325*J325</f>
        <v>0</v>
      </c>
      <c r="N325" s="78" t="s">
        <v>1556</v>
      </c>
      <c r="O325" s="67"/>
      <c r="Z325" s="28">
        <f>IF(AQ325="5",BJ325,0)</f>
        <v>0</v>
      </c>
      <c r="AB325" s="28">
        <f>IF(AQ325="1",BH325,0)</f>
        <v>0</v>
      </c>
      <c r="AC325" s="28">
        <f>IF(AQ325="1",BI325,0)</f>
        <v>0</v>
      </c>
      <c r="AD325" s="28">
        <f>IF(AQ325="7",BH325,0)</f>
        <v>0</v>
      </c>
      <c r="AE325" s="28">
        <f>IF(AQ325="7",BI325,0)</f>
        <v>0</v>
      </c>
      <c r="AF325" s="28">
        <f>IF(AQ325="2",BH325,0)</f>
        <v>0</v>
      </c>
      <c r="AG325" s="28">
        <f>IF(AQ325="2",BI325,0)</f>
        <v>0</v>
      </c>
      <c r="AH325" s="28">
        <f>IF(AQ325="0",BJ325,0)</f>
        <v>0</v>
      </c>
      <c r="AI325" s="27" t="s">
        <v>283</v>
      </c>
      <c r="AJ325" s="18">
        <f>IF(AN325=0,M325,0)</f>
        <v>0</v>
      </c>
      <c r="AK325" s="18">
        <f>IF(AN325=15,M325,0)</f>
        <v>0</v>
      </c>
      <c r="AL325" s="18">
        <f>IF(AN325=21,M325,0)</f>
        <v>0</v>
      </c>
      <c r="AN325" s="28">
        <v>15</v>
      </c>
      <c r="AO325" s="28">
        <f>J325*0.424490062147215</f>
        <v>0</v>
      </c>
      <c r="AP325" s="28">
        <f>J325*(1-0.424490062147215)</f>
        <v>0</v>
      </c>
      <c r="AQ325" s="29" t="s">
        <v>13</v>
      </c>
      <c r="AV325" s="28">
        <f>AW325+AX325</f>
        <v>0</v>
      </c>
      <c r="AW325" s="28">
        <f>I325*AO325</f>
        <v>0</v>
      </c>
      <c r="AX325" s="28">
        <f>I325*AP325</f>
        <v>0</v>
      </c>
      <c r="AY325" s="31" t="s">
        <v>1585</v>
      </c>
      <c r="AZ325" s="31" t="s">
        <v>1619</v>
      </c>
      <c r="BA325" s="27" t="s">
        <v>1628</v>
      </c>
      <c r="BC325" s="28">
        <f>AW325+AX325</f>
        <v>0</v>
      </c>
      <c r="BD325" s="28">
        <f>J325/(100-BE325)*100</f>
        <v>0</v>
      </c>
      <c r="BE325" s="28">
        <v>0</v>
      </c>
      <c r="BF325" s="28">
        <f>325</f>
        <v>325</v>
      </c>
      <c r="BH325" s="18">
        <f>I325*AO325</f>
        <v>0</v>
      </c>
      <c r="BI325" s="18">
        <f>I325*AP325</f>
        <v>0</v>
      </c>
      <c r="BJ325" s="18">
        <f>I325*J325</f>
        <v>0</v>
      </c>
      <c r="BK325" s="18" t="s">
        <v>1634</v>
      </c>
      <c r="BL325" s="28">
        <v>711</v>
      </c>
    </row>
    <row r="326" spans="1:15" ht="25.5" customHeight="1">
      <c r="A326" s="3"/>
      <c r="D326" s="136" t="s">
        <v>816</v>
      </c>
      <c r="E326" s="137"/>
      <c r="F326" s="137"/>
      <c r="G326" s="137"/>
      <c r="H326" s="137"/>
      <c r="I326" s="137"/>
      <c r="J326" s="137"/>
      <c r="K326" s="137"/>
      <c r="L326" s="137"/>
      <c r="M326" s="137"/>
      <c r="N326" s="138"/>
      <c r="O326" s="3"/>
    </row>
    <row r="327" spans="1:15" ht="12.75">
      <c r="A327" s="89"/>
      <c r="B327" s="90"/>
      <c r="C327" s="90"/>
      <c r="D327" s="84" t="s">
        <v>817</v>
      </c>
      <c r="G327" s="91" t="s">
        <v>1335</v>
      </c>
      <c r="H327" s="90"/>
      <c r="I327" s="92">
        <v>36.3348</v>
      </c>
      <c r="J327" s="90"/>
      <c r="K327" s="90"/>
      <c r="L327" s="90"/>
      <c r="M327" s="90"/>
      <c r="N327" s="79"/>
      <c r="O327" s="67"/>
    </row>
    <row r="328" spans="1:15" ht="12.75">
      <c r="A328" s="82"/>
      <c r="B328" s="83"/>
      <c r="C328" s="83"/>
      <c r="D328" s="85" t="s">
        <v>818</v>
      </c>
      <c r="G328" s="86" t="s">
        <v>1371</v>
      </c>
      <c r="H328" s="83"/>
      <c r="I328" s="88">
        <v>11.3904</v>
      </c>
      <c r="J328" s="83"/>
      <c r="K328" s="83"/>
      <c r="L328" s="83"/>
      <c r="M328" s="83"/>
      <c r="N328" s="80"/>
      <c r="O328" s="67"/>
    </row>
    <row r="329" spans="1:15" ht="12.75">
      <c r="A329" s="3"/>
      <c r="C329" s="12" t="s">
        <v>296</v>
      </c>
      <c r="D329" s="142" t="s">
        <v>622</v>
      </c>
      <c r="E329" s="143"/>
      <c r="F329" s="143"/>
      <c r="G329" s="143"/>
      <c r="H329" s="143"/>
      <c r="I329" s="143"/>
      <c r="J329" s="143"/>
      <c r="K329" s="143"/>
      <c r="L329" s="143"/>
      <c r="M329" s="143"/>
      <c r="N329" s="144"/>
      <c r="O329" s="3"/>
    </row>
    <row r="330" spans="1:64" ht="12.75">
      <c r="A330" s="74" t="s">
        <v>74</v>
      </c>
      <c r="B330" s="74" t="s">
        <v>283</v>
      </c>
      <c r="C330" s="74" t="s">
        <v>359</v>
      </c>
      <c r="D330" s="133" t="s">
        <v>819</v>
      </c>
      <c r="E330" s="134"/>
      <c r="F330" s="134"/>
      <c r="G330" s="135"/>
      <c r="H330" s="74" t="s">
        <v>1539</v>
      </c>
      <c r="I330" s="75">
        <v>79.542</v>
      </c>
      <c r="J330" s="75">
        <v>0</v>
      </c>
      <c r="K330" s="75">
        <f>I330*AO330</f>
        <v>0</v>
      </c>
      <c r="L330" s="75">
        <f>I330*AP330</f>
        <v>0</v>
      </c>
      <c r="M330" s="75">
        <f>I330*J330</f>
        <v>0</v>
      </c>
      <c r="N330" s="78" t="s">
        <v>1556</v>
      </c>
      <c r="O330" s="67"/>
      <c r="Z330" s="28">
        <f>IF(AQ330="5",BJ330,0)</f>
        <v>0</v>
      </c>
      <c r="AB330" s="28">
        <f>IF(AQ330="1",BH330,0)</f>
        <v>0</v>
      </c>
      <c r="AC330" s="28">
        <f>IF(AQ330="1",BI330,0)</f>
        <v>0</v>
      </c>
      <c r="AD330" s="28">
        <f>IF(AQ330="7",BH330,0)</f>
        <v>0</v>
      </c>
      <c r="AE330" s="28">
        <f>IF(AQ330="7",BI330,0)</f>
        <v>0</v>
      </c>
      <c r="AF330" s="28">
        <f>IF(AQ330="2",BH330,0)</f>
        <v>0</v>
      </c>
      <c r="AG330" s="28">
        <f>IF(AQ330="2",BI330,0)</f>
        <v>0</v>
      </c>
      <c r="AH330" s="28">
        <f>IF(AQ330="0",BJ330,0)</f>
        <v>0</v>
      </c>
      <c r="AI330" s="27" t="s">
        <v>283</v>
      </c>
      <c r="AJ330" s="18">
        <f>IF(AN330=0,M330,0)</f>
        <v>0</v>
      </c>
      <c r="AK330" s="18">
        <f>IF(AN330=15,M330,0)</f>
        <v>0</v>
      </c>
      <c r="AL330" s="18">
        <f>IF(AN330=21,M330,0)</f>
        <v>0</v>
      </c>
      <c r="AN330" s="28">
        <v>15</v>
      </c>
      <c r="AO330" s="28">
        <f>J330*0.650520323881508</f>
        <v>0</v>
      </c>
      <c r="AP330" s="28">
        <f>J330*(1-0.650520323881508)</f>
        <v>0</v>
      </c>
      <c r="AQ330" s="29" t="s">
        <v>13</v>
      </c>
      <c r="AV330" s="28">
        <f>AW330+AX330</f>
        <v>0</v>
      </c>
      <c r="AW330" s="28">
        <f>I330*AO330</f>
        <v>0</v>
      </c>
      <c r="AX330" s="28">
        <f>I330*AP330</f>
        <v>0</v>
      </c>
      <c r="AY330" s="31" t="s">
        <v>1585</v>
      </c>
      <c r="AZ330" s="31" t="s">
        <v>1619</v>
      </c>
      <c r="BA330" s="27" t="s">
        <v>1628</v>
      </c>
      <c r="BC330" s="28">
        <f>AW330+AX330</f>
        <v>0</v>
      </c>
      <c r="BD330" s="28">
        <f>J330/(100-BE330)*100</f>
        <v>0</v>
      </c>
      <c r="BE330" s="28">
        <v>0</v>
      </c>
      <c r="BF330" s="28">
        <f>330</f>
        <v>330</v>
      </c>
      <c r="BH330" s="18">
        <f>I330*AO330</f>
        <v>0</v>
      </c>
      <c r="BI330" s="18">
        <f>I330*AP330</f>
        <v>0</v>
      </c>
      <c r="BJ330" s="18">
        <f>I330*J330</f>
        <v>0</v>
      </c>
      <c r="BK330" s="18" t="s">
        <v>1634</v>
      </c>
      <c r="BL330" s="28">
        <v>711</v>
      </c>
    </row>
    <row r="331" spans="1:15" ht="12.75">
      <c r="A331" s="3"/>
      <c r="D331" s="136" t="s">
        <v>820</v>
      </c>
      <c r="E331" s="137"/>
      <c r="F331" s="137"/>
      <c r="G331" s="137"/>
      <c r="H331" s="137"/>
      <c r="I331" s="137"/>
      <c r="J331" s="137"/>
      <c r="K331" s="137"/>
      <c r="L331" s="137"/>
      <c r="M331" s="137"/>
      <c r="N331" s="138"/>
      <c r="O331" s="3"/>
    </row>
    <row r="332" spans="1:15" ht="12.75">
      <c r="A332" s="89"/>
      <c r="B332" s="90"/>
      <c r="C332" s="90"/>
      <c r="D332" s="84" t="s">
        <v>821</v>
      </c>
      <c r="G332" s="91" t="s">
        <v>1335</v>
      </c>
      <c r="H332" s="90"/>
      <c r="I332" s="92">
        <v>60.558</v>
      </c>
      <c r="J332" s="90"/>
      <c r="K332" s="90"/>
      <c r="L332" s="90"/>
      <c r="M332" s="90"/>
      <c r="N332" s="79"/>
      <c r="O332" s="67"/>
    </row>
    <row r="333" spans="1:15" ht="12.75">
      <c r="A333" s="82"/>
      <c r="B333" s="83"/>
      <c r="C333" s="83"/>
      <c r="D333" s="85" t="s">
        <v>822</v>
      </c>
      <c r="G333" s="86" t="s">
        <v>1371</v>
      </c>
      <c r="H333" s="83"/>
      <c r="I333" s="88">
        <v>18.984</v>
      </c>
      <c r="J333" s="83"/>
      <c r="K333" s="83"/>
      <c r="L333" s="83"/>
      <c r="M333" s="83"/>
      <c r="N333" s="80"/>
      <c r="O333" s="67"/>
    </row>
    <row r="334" spans="1:15" ht="12.75">
      <c r="A334" s="3"/>
      <c r="C334" s="12" t="s">
        <v>296</v>
      </c>
      <c r="D334" s="142" t="s">
        <v>622</v>
      </c>
      <c r="E334" s="143"/>
      <c r="F334" s="143"/>
      <c r="G334" s="143"/>
      <c r="H334" s="143"/>
      <c r="I334" s="143"/>
      <c r="J334" s="143"/>
      <c r="K334" s="143"/>
      <c r="L334" s="143"/>
      <c r="M334" s="143"/>
      <c r="N334" s="144"/>
      <c r="O334" s="3"/>
    </row>
    <row r="335" spans="1:64" ht="12.75">
      <c r="A335" s="74" t="s">
        <v>75</v>
      </c>
      <c r="B335" s="74" t="s">
        <v>283</v>
      </c>
      <c r="C335" s="74" t="s">
        <v>360</v>
      </c>
      <c r="D335" s="133" t="s">
        <v>823</v>
      </c>
      <c r="E335" s="134"/>
      <c r="F335" s="134"/>
      <c r="G335" s="135"/>
      <c r="H335" s="74" t="s">
        <v>1535</v>
      </c>
      <c r="I335" s="75">
        <v>13.24</v>
      </c>
      <c r="J335" s="75">
        <v>0</v>
      </c>
      <c r="K335" s="75">
        <f>I335*AO335</f>
        <v>0</v>
      </c>
      <c r="L335" s="75">
        <f>I335*AP335</f>
        <v>0</v>
      </c>
      <c r="M335" s="75">
        <f>I335*J335</f>
        <v>0</v>
      </c>
      <c r="N335" s="78" t="s">
        <v>1556</v>
      </c>
      <c r="O335" s="67"/>
      <c r="Z335" s="28">
        <f>IF(AQ335="5",BJ335,0)</f>
        <v>0</v>
      </c>
      <c r="AB335" s="28">
        <f>IF(AQ335="1",BH335,0)</f>
        <v>0</v>
      </c>
      <c r="AC335" s="28">
        <f>IF(AQ335="1",BI335,0)</f>
        <v>0</v>
      </c>
      <c r="AD335" s="28">
        <f>IF(AQ335="7",BH335,0)</f>
        <v>0</v>
      </c>
      <c r="AE335" s="28">
        <f>IF(AQ335="7",BI335,0)</f>
        <v>0</v>
      </c>
      <c r="AF335" s="28">
        <f>IF(AQ335="2",BH335,0)</f>
        <v>0</v>
      </c>
      <c r="AG335" s="28">
        <f>IF(AQ335="2",BI335,0)</f>
        <v>0</v>
      </c>
      <c r="AH335" s="28">
        <f>IF(AQ335="0",BJ335,0)</f>
        <v>0</v>
      </c>
      <c r="AI335" s="27" t="s">
        <v>283</v>
      </c>
      <c r="AJ335" s="18">
        <f>IF(AN335=0,M335,0)</f>
        <v>0</v>
      </c>
      <c r="AK335" s="18">
        <f>IF(AN335=15,M335,0)</f>
        <v>0</v>
      </c>
      <c r="AL335" s="18">
        <f>IF(AN335=21,M335,0)</f>
        <v>0</v>
      </c>
      <c r="AN335" s="28">
        <v>15</v>
      </c>
      <c r="AO335" s="28">
        <f>J335*0.614159895150721</f>
        <v>0</v>
      </c>
      <c r="AP335" s="28">
        <f>J335*(1-0.614159895150721)</f>
        <v>0</v>
      </c>
      <c r="AQ335" s="29" t="s">
        <v>13</v>
      </c>
      <c r="AV335" s="28">
        <f>AW335+AX335</f>
        <v>0</v>
      </c>
      <c r="AW335" s="28">
        <f>I335*AO335</f>
        <v>0</v>
      </c>
      <c r="AX335" s="28">
        <f>I335*AP335</f>
        <v>0</v>
      </c>
      <c r="AY335" s="31" t="s">
        <v>1585</v>
      </c>
      <c r="AZ335" s="31" t="s">
        <v>1619</v>
      </c>
      <c r="BA335" s="27" t="s">
        <v>1628</v>
      </c>
      <c r="BC335" s="28">
        <f>AW335+AX335</f>
        <v>0</v>
      </c>
      <c r="BD335" s="28">
        <f>J335/(100-BE335)*100</f>
        <v>0</v>
      </c>
      <c r="BE335" s="28">
        <v>0</v>
      </c>
      <c r="BF335" s="28">
        <f>335</f>
        <v>335</v>
      </c>
      <c r="BH335" s="18">
        <f>I335*AO335</f>
        <v>0</v>
      </c>
      <c r="BI335" s="18">
        <f>I335*AP335</f>
        <v>0</v>
      </c>
      <c r="BJ335" s="18">
        <f>I335*J335</f>
        <v>0</v>
      </c>
      <c r="BK335" s="18" t="s">
        <v>1634</v>
      </c>
      <c r="BL335" s="28">
        <v>711</v>
      </c>
    </row>
    <row r="336" spans="1:15" ht="25.5" customHeight="1">
      <c r="A336" s="3"/>
      <c r="D336" s="136" t="s">
        <v>824</v>
      </c>
      <c r="E336" s="137"/>
      <c r="F336" s="137"/>
      <c r="G336" s="137"/>
      <c r="H336" s="137"/>
      <c r="I336" s="137"/>
      <c r="J336" s="137"/>
      <c r="K336" s="137"/>
      <c r="L336" s="137"/>
      <c r="M336" s="137"/>
      <c r="N336" s="138"/>
      <c r="O336" s="3"/>
    </row>
    <row r="337" spans="1:15" ht="12.75">
      <c r="A337" s="82"/>
      <c r="B337" s="83"/>
      <c r="C337" s="83"/>
      <c r="D337" s="85" t="s">
        <v>825</v>
      </c>
      <c r="G337" s="86" t="s">
        <v>1401</v>
      </c>
      <c r="H337" s="83"/>
      <c r="I337" s="88">
        <v>13.24</v>
      </c>
      <c r="J337" s="83"/>
      <c r="K337" s="83"/>
      <c r="L337" s="83"/>
      <c r="M337" s="83"/>
      <c r="N337" s="80"/>
      <c r="O337" s="67"/>
    </row>
    <row r="338" spans="1:15" ht="12.75">
      <c r="A338" s="3"/>
      <c r="C338" s="12" t="s">
        <v>296</v>
      </c>
      <c r="D338" s="142" t="s">
        <v>622</v>
      </c>
      <c r="E338" s="143"/>
      <c r="F338" s="143"/>
      <c r="G338" s="143"/>
      <c r="H338" s="143"/>
      <c r="I338" s="143"/>
      <c r="J338" s="143"/>
      <c r="K338" s="143"/>
      <c r="L338" s="143"/>
      <c r="M338" s="143"/>
      <c r="N338" s="144"/>
      <c r="O338" s="3"/>
    </row>
    <row r="339" spans="1:64" ht="12.75">
      <c r="A339" s="94" t="s">
        <v>76</v>
      </c>
      <c r="B339" s="94" t="s">
        <v>283</v>
      </c>
      <c r="C339" s="94" t="s">
        <v>361</v>
      </c>
      <c r="D339" s="148" t="s">
        <v>826</v>
      </c>
      <c r="E339" s="149"/>
      <c r="F339" s="149"/>
      <c r="G339" s="150"/>
      <c r="H339" s="94" t="s">
        <v>1539</v>
      </c>
      <c r="I339" s="95">
        <v>14.214</v>
      </c>
      <c r="J339" s="95">
        <v>0</v>
      </c>
      <c r="K339" s="95">
        <f>I339*AO339</f>
        <v>0</v>
      </c>
      <c r="L339" s="95">
        <f>I339*AP339</f>
        <v>0</v>
      </c>
      <c r="M339" s="95">
        <f>I339*J339</f>
        <v>0</v>
      </c>
      <c r="N339" s="93" t="s">
        <v>1555</v>
      </c>
      <c r="O339" s="67"/>
      <c r="Z339" s="28">
        <f>IF(AQ339="5",BJ339,0)</f>
        <v>0</v>
      </c>
      <c r="AB339" s="28">
        <f>IF(AQ339="1",BH339,0)</f>
        <v>0</v>
      </c>
      <c r="AC339" s="28">
        <f>IF(AQ339="1",BI339,0)</f>
        <v>0</v>
      </c>
      <c r="AD339" s="28">
        <f>IF(AQ339="7",BH339,0)</f>
        <v>0</v>
      </c>
      <c r="AE339" s="28">
        <f>IF(AQ339="7",BI339,0)</f>
        <v>0</v>
      </c>
      <c r="AF339" s="28">
        <f>IF(AQ339="2",BH339,0)</f>
        <v>0</v>
      </c>
      <c r="AG339" s="28">
        <f>IF(AQ339="2",BI339,0)</f>
        <v>0</v>
      </c>
      <c r="AH339" s="28">
        <f>IF(AQ339="0",BJ339,0)</f>
        <v>0</v>
      </c>
      <c r="AI339" s="27" t="s">
        <v>283</v>
      </c>
      <c r="AJ339" s="20">
        <f>IF(AN339=0,M339,0)</f>
        <v>0</v>
      </c>
      <c r="AK339" s="20">
        <f>IF(AN339=15,M339,0)</f>
        <v>0</v>
      </c>
      <c r="AL339" s="20">
        <f>IF(AN339=21,M339,0)</f>
        <v>0</v>
      </c>
      <c r="AN339" s="28">
        <v>15</v>
      </c>
      <c r="AO339" s="28">
        <f>J339*1</f>
        <v>0</v>
      </c>
      <c r="AP339" s="28">
        <f>J339*(1-1)</f>
        <v>0</v>
      </c>
      <c r="AQ339" s="30" t="s">
        <v>13</v>
      </c>
      <c r="AV339" s="28">
        <f>AW339+AX339</f>
        <v>0</v>
      </c>
      <c r="AW339" s="28">
        <f>I339*AO339</f>
        <v>0</v>
      </c>
      <c r="AX339" s="28">
        <f>I339*AP339</f>
        <v>0</v>
      </c>
      <c r="AY339" s="31" t="s">
        <v>1585</v>
      </c>
      <c r="AZ339" s="31" t="s">
        <v>1619</v>
      </c>
      <c r="BA339" s="27" t="s">
        <v>1628</v>
      </c>
      <c r="BC339" s="28">
        <f>AW339+AX339</f>
        <v>0</v>
      </c>
      <c r="BD339" s="28">
        <f>J339/(100-BE339)*100</f>
        <v>0</v>
      </c>
      <c r="BE339" s="28">
        <v>0</v>
      </c>
      <c r="BF339" s="28">
        <f>339</f>
        <v>339</v>
      </c>
      <c r="BH339" s="20">
        <f>I339*AO339</f>
        <v>0</v>
      </c>
      <c r="BI339" s="20">
        <f>I339*AP339</f>
        <v>0</v>
      </c>
      <c r="BJ339" s="20">
        <f>I339*J339</f>
        <v>0</v>
      </c>
      <c r="BK339" s="20" t="s">
        <v>1635</v>
      </c>
      <c r="BL339" s="28">
        <v>711</v>
      </c>
    </row>
    <row r="340" spans="1:15" ht="12.75">
      <c r="A340" s="89"/>
      <c r="B340" s="90"/>
      <c r="C340" s="90"/>
      <c r="D340" s="84" t="s">
        <v>827</v>
      </c>
      <c r="G340" s="91" t="s">
        <v>1401</v>
      </c>
      <c r="H340" s="90"/>
      <c r="I340" s="92">
        <v>13.8</v>
      </c>
      <c r="J340" s="90"/>
      <c r="K340" s="90"/>
      <c r="L340" s="90"/>
      <c r="M340" s="90"/>
      <c r="N340" s="79"/>
      <c r="O340" s="67"/>
    </row>
    <row r="341" spans="1:15" ht="12.75">
      <c r="A341" s="82"/>
      <c r="B341" s="83"/>
      <c r="C341" s="83"/>
      <c r="D341" s="85" t="s">
        <v>828</v>
      </c>
      <c r="G341" s="86"/>
      <c r="H341" s="83"/>
      <c r="I341" s="88">
        <v>0.414</v>
      </c>
      <c r="J341" s="83"/>
      <c r="K341" s="83"/>
      <c r="L341" s="83"/>
      <c r="M341" s="83"/>
      <c r="N341" s="80"/>
      <c r="O341" s="67"/>
    </row>
    <row r="342" spans="1:15" ht="12.75">
      <c r="A342" s="3"/>
      <c r="C342" s="12" t="s">
        <v>296</v>
      </c>
      <c r="D342" s="142" t="s">
        <v>622</v>
      </c>
      <c r="E342" s="143"/>
      <c r="F342" s="143"/>
      <c r="G342" s="143"/>
      <c r="H342" s="143"/>
      <c r="I342" s="143"/>
      <c r="J342" s="143"/>
      <c r="K342" s="143"/>
      <c r="L342" s="143"/>
      <c r="M342" s="143"/>
      <c r="N342" s="144"/>
      <c r="O342" s="3"/>
    </row>
    <row r="343" spans="1:64" ht="12.75">
      <c r="A343" s="81" t="s">
        <v>77</v>
      </c>
      <c r="B343" s="81" t="s">
        <v>283</v>
      </c>
      <c r="C343" s="81" t="s">
        <v>362</v>
      </c>
      <c r="D343" s="139" t="s">
        <v>829</v>
      </c>
      <c r="E343" s="134"/>
      <c r="F343" s="134"/>
      <c r="G343" s="140"/>
      <c r="H343" s="81" t="s">
        <v>1540</v>
      </c>
      <c r="I343" s="87">
        <v>1298.73</v>
      </c>
      <c r="J343" s="87">
        <v>0</v>
      </c>
      <c r="K343" s="87">
        <f>I343*AO343</f>
        <v>0</v>
      </c>
      <c r="L343" s="87">
        <f>I343*AP343</f>
        <v>0</v>
      </c>
      <c r="M343" s="87">
        <f>I343*J343</f>
        <v>0</v>
      </c>
      <c r="N343" s="77" t="s">
        <v>1556</v>
      </c>
      <c r="O343" s="67"/>
      <c r="Z343" s="28">
        <f>IF(AQ343="5",BJ343,0)</f>
        <v>0</v>
      </c>
      <c r="AB343" s="28">
        <f>IF(AQ343="1",BH343,0)</f>
        <v>0</v>
      </c>
      <c r="AC343" s="28">
        <f>IF(AQ343="1",BI343,0)</f>
        <v>0</v>
      </c>
      <c r="AD343" s="28">
        <f>IF(AQ343="7",BH343,0)</f>
        <v>0</v>
      </c>
      <c r="AE343" s="28">
        <f>IF(AQ343="7",BI343,0)</f>
        <v>0</v>
      </c>
      <c r="AF343" s="28">
        <f>IF(AQ343="2",BH343,0)</f>
        <v>0</v>
      </c>
      <c r="AG343" s="28">
        <f>IF(AQ343="2",BI343,0)</f>
        <v>0</v>
      </c>
      <c r="AH343" s="28">
        <f>IF(AQ343="0",BJ343,0)</f>
        <v>0</v>
      </c>
      <c r="AI343" s="27" t="s">
        <v>283</v>
      </c>
      <c r="AJ343" s="18">
        <f>IF(AN343=0,M343,0)</f>
        <v>0</v>
      </c>
      <c r="AK343" s="18">
        <f>IF(AN343=15,M343,0)</f>
        <v>0</v>
      </c>
      <c r="AL343" s="18">
        <f>IF(AN343=21,M343,0)</f>
        <v>0</v>
      </c>
      <c r="AN343" s="28">
        <v>15</v>
      </c>
      <c r="AO343" s="28">
        <f>J343*0</f>
        <v>0</v>
      </c>
      <c r="AP343" s="28">
        <f>J343*(1-0)</f>
        <v>0</v>
      </c>
      <c r="AQ343" s="29" t="s">
        <v>11</v>
      </c>
      <c r="AV343" s="28">
        <f>AW343+AX343</f>
        <v>0</v>
      </c>
      <c r="AW343" s="28">
        <f>I343*AO343</f>
        <v>0</v>
      </c>
      <c r="AX343" s="28">
        <f>I343*AP343</f>
        <v>0</v>
      </c>
      <c r="AY343" s="31" t="s">
        <v>1585</v>
      </c>
      <c r="AZ343" s="31" t="s">
        <v>1619</v>
      </c>
      <c r="BA343" s="27" t="s">
        <v>1628</v>
      </c>
      <c r="BC343" s="28">
        <f>AW343+AX343</f>
        <v>0</v>
      </c>
      <c r="BD343" s="28">
        <f>J343/(100-BE343)*100</f>
        <v>0</v>
      </c>
      <c r="BE343" s="28">
        <v>0</v>
      </c>
      <c r="BF343" s="28">
        <f>343</f>
        <v>343</v>
      </c>
      <c r="BH343" s="18">
        <f>I343*AO343</f>
        <v>0</v>
      </c>
      <c r="BI343" s="18">
        <f>I343*AP343</f>
        <v>0</v>
      </c>
      <c r="BJ343" s="18">
        <f>I343*J343</f>
        <v>0</v>
      </c>
      <c r="BK343" s="18" t="s">
        <v>1634</v>
      </c>
      <c r="BL343" s="28">
        <v>711</v>
      </c>
    </row>
    <row r="344" spans="1:15" ht="12.75">
      <c r="A344" s="89"/>
      <c r="B344" s="90"/>
      <c r="C344" s="90"/>
      <c r="D344" s="84" t="s">
        <v>830</v>
      </c>
      <c r="G344" s="91"/>
      <c r="H344" s="90"/>
      <c r="I344" s="92">
        <v>1298.73</v>
      </c>
      <c r="J344" s="90"/>
      <c r="K344" s="90"/>
      <c r="L344" s="90"/>
      <c r="M344" s="90"/>
      <c r="N344" s="79"/>
      <c r="O344" s="67"/>
    </row>
    <row r="345" spans="1:47" ht="12.75">
      <c r="A345" s="72"/>
      <c r="B345" s="73" t="s">
        <v>283</v>
      </c>
      <c r="C345" s="73" t="s">
        <v>363</v>
      </c>
      <c r="D345" s="130" t="s">
        <v>831</v>
      </c>
      <c r="E345" s="131"/>
      <c r="F345" s="131"/>
      <c r="G345" s="132"/>
      <c r="H345" s="72" t="s">
        <v>6</v>
      </c>
      <c r="I345" s="72" t="s">
        <v>6</v>
      </c>
      <c r="J345" s="72" t="s">
        <v>6</v>
      </c>
      <c r="K345" s="76">
        <f>SUM(K346:K414)</f>
        <v>0</v>
      </c>
      <c r="L345" s="76">
        <f>SUM(L346:L414)</f>
        <v>0</v>
      </c>
      <c r="M345" s="76">
        <f>SUM(M346:M414)</f>
        <v>0</v>
      </c>
      <c r="N345" s="71"/>
      <c r="O345" s="67"/>
      <c r="AI345" s="27" t="s">
        <v>283</v>
      </c>
      <c r="AS345" s="33">
        <f>SUM(AJ346:AJ414)</f>
        <v>0</v>
      </c>
      <c r="AT345" s="33">
        <f>SUM(AK346:AK414)</f>
        <v>0</v>
      </c>
      <c r="AU345" s="33">
        <f>SUM(AL346:AL414)</f>
        <v>0</v>
      </c>
    </row>
    <row r="346" spans="1:64" ht="12.75">
      <c r="A346" s="74" t="s">
        <v>78</v>
      </c>
      <c r="B346" s="74" t="s">
        <v>283</v>
      </c>
      <c r="C346" s="74" t="s">
        <v>364</v>
      </c>
      <c r="D346" s="133" t="s">
        <v>832</v>
      </c>
      <c r="E346" s="134"/>
      <c r="F346" s="134"/>
      <c r="G346" s="135"/>
      <c r="H346" s="74" t="s">
        <v>1535</v>
      </c>
      <c r="I346" s="75">
        <v>61.82</v>
      </c>
      <c r="J346" s="75">
        <v>0</v>
      </c>
      <c r="K346" s="75">
        <f>I346*AO346</f>
        <v>0</v>
      </c>
      <c r="L346" s="75">
        <f>I346*AP346</f>
        <v>0</v>
      </c>
      <c r="M346" s="75">
        <f>I346*J346</f>
        <v>0</v>
      </c>
      <c r="N346" s="78" t="s">
        <v>1556</v>
      </c>
      <c r="O346" s="67"/>
      <c r="Z346" s="28">
        <f>IF(AQ346="5",BJ346,0)</f>
        <v>0</v>
      </c>
      <c r="AB346" s="28">
        <f>IF(AQ346="1",BH346,0)</f>
        <v>0</v>
      </c>
      <c r="AC346" s="28">
        <f>IF(AQ346="1",BI346,0)</f>
        <v>0</v>
      </c>
      <c r="AD346" s="28">
        <f>IF(AQ346="7",BH346,0)</f>
        <v>0</v>
      </c>
      <c r="AE346" s="28">
        <f>IF(AQ346="7",BI346,0)</f>
        <v>0</v>
      </c>
      <c r="AF346" s="28">
        <f>IF(AQ346="2",BH346,0)</f>
        <v>0</v>
      </c>
      <c r="AG346" s="28">
        <f>IF(AQ346="2",BI346,0)</f>
        <v>0</v>
      </c>
      <c r="AH346" s="28">
        <f>IF(AQ346="0",BJ346,0)</f>
        <v>0</v>
      </c>
      <c r="AI346" s="27" t="s">
        <v>283</v>
      </c>
      <c r="AJ346" s="18">
        <f>IF(AN346=0,M346,0)</f>
        <v>0</v>
      </c>
      <c r="AK346" s="18">
        <f>IF(AN346=15,M346,0)</f>
        <v>0</v>
      </c>
      <c r="AL346" s="18">
        <f>IF(AN346=21,M346,0)</f>
        <v>0</v>
      </c>
      <c r="AN346" s="28">
        <v>15</v>
      </c>
      <c r="AO346" s="28">
        <f>J346*0.280449438202247</f>
        <v>0</v>
      </c>
      <c r="AP346" s="28">
        <f>J346*(1-0.280449438202247)</f>
        <v>0</v>
      </c>
      <c r="AQ346" s="29" t="s">
        <v>13</v>
      </c>
      <c r="AV346" s="28">
        <f>AW346+AX346</f>
        <v>0</v>
      </c>
      <c r="AW346" s="28">
        <f>I346*AO346</f>
        <v>0</v>
      </c>
      <c r="AX346" s="28">
        <f>I346*AP346</f>
        <v>0</v>
      </c>
      <c r="AY346" s="31" t="s">
        <v>1586</v>
      </c>
      <c r="AZ346" s="31" t="s">
        <v>1619</v>
      </c>
      <c r="BA346" s="27" t="s">
        <v>1628</v>
      </c>
      <c r="BC346" s="28">
        <f>AW346+AX346</f>
        <v>0</v>
      </c>
      <c r="BD346" s="28">
        <f>J346/(100-BE346)*100</f>
        <v>0</v>
      </c>
      <c r="BE346" s="28">
        <v>0</v>
      </c>
      <c r="BF346" s="28">
        <f>346</f>
        <v>346</v>
      </c>
      <c r="BH346" s="18">
        <f>I346*AO346</f>
        <v>0</v>
      </c>
      <c r="BI346" s="18">
        <f>I346*AP346</f>
        <v>0</v>
      </c>
      <c r="BJ346" s="18">
        <f>I346*J346</f>
        <v>0</v>
      </c>
      <c r="BK346" s="18" t="s">
        <v>1634</v>
      </c>
      <c r="BL346" s="28">
        <v>713</v>
      </c>
    </row>
    <row r="347" spans="1:15" ht="89.25" customHeight="1">
      <c r="A347" s="3"/>
      <c r="D347" s="136" t="s">
        <v>833</v>
      </c>
      <c r="E347" s="137"/>
      <c r="F347" s="137"/>
      <c r="G347" s="137"/>
      <c r="H347" s="137"/>
      <c r="I347" s="137"/>
      <c r="J347" s="137"/>
      <c r="K347" s="137"/>
      <c r="L347" s="137"/>
      <c r="M347" s="137"/>
      <c r="N347" s="138"/>
      <c r="O347" s="3"/>
    </row>
    <row r="348" spans="1:15" ht="12.75">
      <c r="A348" s="82"/>
      <c r="B348" s="83"/>
      <c r="C348" s="83"/>
      <c r="D348" s="85" t="s">
        <v>650</v>
      </c>
      <c r="G348" s="86" t="s">
        <v>1346</v>
      </c>
      <c r="H348" s="83"/>
      <c r="I348" s="88">
        <v>61.82</v>
      </c>
      <c r="J348" s="83"/>
      <c r="K348" s="83"/>
      <c r="L348" s="83"/>
      <c r="M348" s="83"/>
      <c r="N348" s="80"/>
      <c r="O348" s="67"/>
    </row>
    <row r="349" spans="1:15" ht="12.75">
      <c r="A349" s="3"/>
      <c r="C349" s="13" t="s">
        <v>302</v>
      </c>
      <c r="D349" s="145" t="s">
        <v>834</v>
      </c>
      <c r="E349" s="146"/>
      <c r="F349" s="146"/>
      <c r="G349" s="146"/>
      <c r="H349" s="146"/>
      <c r="I349" s="146"/>
      <c r="J349" s="146"/>
      <c r="K349" s="146"/>
      <c r="L349" s="146"/>
      <c r="M349" s="146"/>
      <c r="N349" s="147"/>
      <c r="O349" s="3"/>
    </row>
    <row r="350" spans="1:15" ht="12.75">
      <c r="A350" s="3"/>
      <c r="C350" s="12" t="s">
        <v>296</v>
      </c>
      <c r="D350" s="142" t="s">
        <v>622</v>
      </c>
      <c r="E350" s="143"/>
      <c r="F350" s="143"/>
      <c r="G350" s="143"/>
      <c r="H350" s="143"/>
      <c r="I350" s="143"/>
      <c r="J350" s="143"/>
      <c r="K350" s="143"/>
      <c r="L350" s="143"/>
      <c r="M350" s="143"/>
      <c r="N350" s="144"/>
      <c r="O350" s="3"/>
    </row>
    <row r="351" spans="1:64" ht="12.75">
      <c r="A351" s="81" t="s">
        <v>79</v>
      </c>
      <c r="B351" s="81" t="s">
        <v>283</v>
      </c>
      <c r="C351" s="81" t="s">
        <v>365</v>
      </c>
      <c r="D351" s="139" t="s">
        <v>835</v>
      </c>
      <c r="E351" s="134"/>
      <c r="F351" s="134"/>
      <c r="G351" s="140"/>
      <c r="H351" s="81" t="s">
        <v>1535</v>
      </c>
      <c r="I351" s="87">
        <v>61.82</v>
      </c>
      <c r="J351" s="87">
        <v>0</v>
      </c>
      <c r="K351" s="87">
        <f>I351*AO351</f>
        <v>0</v>
      </c>
      <c r="L351" s="87">
        <f>I351*AP351</f>
        <v>0</v>
      </c>
      <c r="M351" s="87">
        <f>I351*J351</f>
        <v>0</v>
      </c>
      <c r="N351" s="77" t="s">
        <v>1556</v>
      </c>
      <c r="O351" s="67"/>
      <c r="Z351" s="28">
        <f>IF(AQ351="5",BJ351,0)</f>
        <v>0</v>
      </c>
      <c r="AB351" s="28">
        <f>IF(AQ351="1",BH351,0)</f>
        <v>0</v>
      </c>
      <c r="AC351" s="28">
        <f>IF(AQ351="1",BI351,0)</f>
        <v>0</v>
      </c>
      <c r="AD351" s="28">
        <f>IF(AQ351="7",BH351,0)</f>
        <v>0</v>
      </c>
      <c r="AE351" s="28">
        <f>IF(AQ351="7",BI351,0)</f>
        <v>0</v>
      </c>
      <c r="AF351" s="28">
        <f>IF(AQ351="2",BH351,0)</f>
        <v>0</v>
      </c>
      <c r="AG351" s="28">
        <f>IF(AQ351="2",BI351,0)</f>
        <v>0</v>
      </c>
      <c r="AH351" s="28">
        <f>IF(AQ351="0",BJ351,0)</f>
        <v>0</v>
      </c>
      <c r="AI351" s="27" t="s">
        <v>283</v>
      </c>
      <c r="AJ351" s="18">
        <f>IF(AN351=0,M351,0)</f>
        <v>0</v>
      </c>
      <c r="AK351" s="18">
        <f>IF(AN351=15,M351,0)</f>
        <v>0</v>
      </c>
      <c r="AL351" s="18">
        <f>IF(AN351=21,M351,0)</f>
        <v>0</v>
      </c>
      <c r="AN351" s="28">
        <v>15</v>
      </c>
      <c r="AO351" s="28">
        <f>J351*0.0637598626781785</f>
        <v>0</v>
      </c>
      <c r="AP351" s="28">
        <f>J351*(1-0.0637598626781785)</f>
        <v>0</v>
      </c>
      <c r="AQ351" s="29" t="s">
        <v>13</v>
      </c>
      <c r="AV351" s="28">
        <f>AW351+AX351</f>
        <v>0</v>
      </c>
      <c r="AW351" s="28">
        <f>I351*AO351</f>
        <v>0</v>
      </c>
      <c r="AX351" s="28">
        <f>I351*AP351</f>
        <v>0</v>
      </c>
      <c r="AY351" s="31" t="s">
        <v>1586</v>
      </c>
      <c r="AZ351" s="31" t="s">
        <v>1619</v>
      </c>
      <c r="BA351" s="27" t="s">
        <v>1628</v>
      </c>
      <c r="BC351" s="28">
        <f>AW351+AX351</f>
        <v>0</v>
      </c>
      <c r="BD351" s="28">
        <f>J351/(100-BE351)*100</f>
        <v>0</v>
      </c>
      <c r="BE351" s="28">
        <v>0</v>
      </c>
      <c r="BF351" s="28">
        <f>351</f>
        <v>351</v>
      </c>
      <c r="BH351" s="18">
        <f>I351*AO351</f>
        <v>0</v>
      </c>
      <c r="BI351" s="18">
        <f>I351*AP351</f>
        <v>0</v>
      </c>
      <c r="BJ351" s="18">
        <f>I351*J351</f>
        <v>0</v>
      </c>
      <c r="BK351" s="18" t="s">
        <v>1634</v>
      </c>
      <c r="BL351" s="28">
        <v>713</v>
      </c>
    </row>
    <row r="352" spans="1:15" ht="12.75">
      <c r="A352" s="82"/>
      <c r="B352" s="83"/>
      <c r="C352" s="83"/>
      <c r="D352" s="85" t="s">
        <v>650</v>
      </c>
      <c r="G352" s="86" t="s">
        <v>1346</v>
      </c>
      <c r="H352" s="83"/>
      <c r="I352" s="88">
        <v>61.82</v>
      </c>
      <c r="J352" s="83"/>
      <c r="K352" s="83"/>
      <c r="L352" s="83"/>
      <c r="M352" s="83"/>
      <c r="N352" s="80"/>
      <c r="O352" s="67"/>
    </row>
    <row r="353" spans="1:15" ht="25.5" customHeight="1">
      <c r="A353" s="3"/>
      <c r="C353" s="13" t="s">
        <v>302</v>
      </c>
      <c r="D353" s="145" t="s">
        <v>836</v>
      </c>
      <c r="E353" s="146"/>
      <c r="F353" s="146"/>
      <c r="G353" s="146"/>
      <c r="H353" s="146"/>
      <c r="I353" s="146"/>
      <c r="J353" s="146"/>
      <c r="K353" s="146"/>
      <c r="L353" s="146"/>
      <c r="M353" s="146"/>
      <c r="N353" s="147"/>
      <c r="O353" s="3"/>
    </row>
    <row r="354" spans="1:15" ht="12.75">
      <c r="A354" s="3"/>
      <c r="C354" s="12" t="s">
        <v>296</v>
      </c>
      <c r="D354" s="142" t="s">
        <v>622</v>
      </c>
      <c r="E354" s="143"/>
      <c r="F354" s="143"/>
      <c r="G354" s="143"/>
      <c r="H354" s="143"/>
      <c r="I354" s="143"/>
      <c r="J354" s="143"/>
      <c r="K354" s="143"/>
      <c r="L354" s="143"/>
      <c r="M354" s="143"/>
      <c r="N354" s="144"/>
      <c r="O354" s="3"/>
    </row>
    <row r="355" spans="1:64" ht="12.75">
      <c r="A355" s="94" t="s">
        <v>80</v>
      </c>
      <c r="B355" s="94" t="s">
        <v>283</v>
      </c>
      <c r="C355" s="94" t="s">
        <v>366</v>
      </c>
      <c r="D355" s="148" t="s">
        <v>837</v>
      </c>
      <c r="E355" s="149"/>
      <c r="F355" s="149"/>
      <c r="G355" s="150"/>
      <c r="H355" s="94" t="s">
        <v>1535</v>
      </c>
      <c r="I355" s="95">
        <v>64.911</v>
      </c>
      <c r="J355" s="95">
        <v>0</v>
      </c>
      <c r="K355" s="95">
        <f>I355*AO355</f>
        <v>0</v>
      </c>
      <c r="L355" s="95">
        <f>I355*AP355</f>
        <v>0</v>
      </c>
      <c r="M355" s="95">
        <f>I355*J355</f>
        <v>0</v>
      </c>
      <c r="N355" s="93" t="s">
        <v>1556</v>
      </c>
      <c r="O355" s="67"/>
      <c r="Z355" s="28">
        <f>IF(AQ355="5",BJ355,0)</f>
        <v>0</v>
      </c>
      <c r="AB355" s="28">
        <f>IF(AQ355="1",BH355,0)</f>
        <v>0</v>
      </c>
      <c r="AC355" s="28">
        <f>IF(AQ355="1",BI355,0)</f>
        <v>0</v>
      </c>
      <c r="AD355" s="28">
        <f>IF(AQ355="7",BH355,0)</f>
        <v>0</v>
      </c>
      <c r="AE355" s="28">
        <f>IF(AQ355="7",BI355,0)</f>
        <v>0</v>
      </c>
      <c r="AF355" s="28">
        <f>IF(AQ355="2",BH355,0)</f>
        <v>0</v>
      </c>
      <c r="AG355" s="28">
        <f>IF(AQ355="2",BI355,0)</f>
        <v>0</v>
      </c>
      <c r="AH355" s="28">
        <f>IF(AQ355="0",BJ355,0)</f>
        <v>0</v>
      </c>
      <c r="AI355" s="27" t="s">
        <v>283</v>
      </c>
      <c r="AJ355" s="20">
        <f>IF(AN355=0,M355,0)</f>
        <v>0</v>
      </c>
      <c r="AK355" s="20">
        <f>IF(AN355=15,M355,0)</f>
        <v>0</v>
      </c>
      <c r="AL355" s="20">
        <f>IF(AN355=21,M355,0)</f>
        <v>0</v>
      </c>
      <c r="AN355" s="28">
        <v>15</v>
      </c>
      <c r="AO355" s="28">
        <f>J355*1</f>
        <v>0</v>
      </c>
      <c r="AP355" s="28">
        <f>J355*(1-1)</f>
        <v>0</v>
      </c>
      <c r="AQ355" s="30" t="s">
        <v>13</v>
      </c>
      <c r="AV355" s="28">
        <f>AW355+AX355</f>
        <v>0</v>
      </c>
      <c r="AW355" s="28">
        <f>I355*AO355</f>
        <v>0</v>
      </c>
      <c r="AX355" s="28">
        <f>I355*AP355</f>
        <v>0</v>
      </c>
      <c r="AY355" s="31" t="s">
        <v>1586</v>
      </c>
      <c r="AZ355" s="31" t="s">
        <v>1619</v>
      </c>
      <c r="BA355" s="27" t="s">
        <v>1628</v>
      </c>
      <c r="BC355" s="28">
        <f>AW355+AX355</f>
        <v>0</v>
      </c>
      <c r="BD355" s="28">
        <f>J355/(100-BE355)*100</f>
        <v>0</v>
      </c>
      <c r="BE355" s="28">
        <v>0</v>
      </c>
      <c r="BF355" s="28">
        <f>355</f>
        <v>355</v>
      </c>
      <c r="BH355" s="20">
        <f>I355*AO355</f>
        <v>0</v>
      </c>
      <c r="BI355" s="20">
        <f>I355*AP355</f>
        <v>0</v>
      </c>
      <c r="BJ355" s="20">
        <f>I355*J355</f>
        <v>0</v>
      </c>
      <c r="BK355" s="20" t="s">
        <v>1635</v>
      </c>
      <c r="BL355" s="28">
        <v>713</v>
      </c>
    </row>
    <row r="356" spans="1:15" ht="12.75">
      <c r="A356" s="89"/>
      <c r="B356" s="90"/>
      <c r="C356" s="90"/>
      <c r="D356" s="84" t="s">
        <v>650</v>
      </c>
      <c r="G356" s="91" t="s">
        <v>1346</v>
      </c>
      <c r="H356" s="90"/>
      <c r="I356" s="92">
        <v>61.82</v>
      </c>
      <c r="J356" s="90"/>
      <c r="K356" s="90"/>
      <c r="L356" s="90"/>
      <c r="M356" s="90"/>
      <c r="N356" s="79"/>
      <c r="O356" s="67"/>
    </row>
    <row r="357" spans="1:15" ht="12.75">
      <c r="A357" s="82"/>
      <c r="B357" s="83"/>
      <c r="C357" s="83"/>
      <c r="D357" s="85" t="s">
        <v>838</v>
      </c>
      <c r="G357" s="86"/>
      <c r="H357" s="83"/>
      <c r="I357" s="88">
        <v>3.091</v>
      </c>
      <c r="J357" s="83"/>
      <c r="K357" s="83"/>
      <c r="L357" s="83"/>
      <c r="M357" s="83"/>
      <c r="N357" s="80"/>
      <c r="O357" s="67"/>
    </row>
    <row r="358" spans="1:15" ht="12.75">
      <c r="A358" s="3"/>
      <c r="C358" s="13" t="s">
        <v>302</v>
      </c>
      <c r="D358" s="145" t="s">
        <v>839</v>
      </c>
      <c r="E358" s="146"/>
      <c r="F358" s="146"/>
      <c r="G358" s="146"/>
      <c r="H358" s="146"/>
      <c r="I358" s="146"/>
      <c r="J358" s="146"/>
      <c r="K358" s="146"/>
      <c r="L358" s="146"/>
      <c r="M358" s="146"/>
      <c r="N358" s="147"/>
      <c r="O358" s="3"/>
    </row>
    <row r="359" spans="1:15" ht="12.75">
      <c r="A359" s="3"/>
      <c r="C359" s="12" t="s">
        <v>296</v>
      </c>
      <c r="D359" s="142" t="s">
        <v>622</v>
      </c>
      <c r="E359" s="143"/>
      <c r="F359" s="143"/>
      <c r="G359" s="143"/>
      <c r="H359" s="143"/>
      <c r="I359" s="143"/>
      <c r="J359" s="143"/>
      <c r="K359" s="143"/>
      <c r="L359" s="143"/>
      <c r="M359" s="143"/>
      <c r="N359" s="144"/>
      <c r="O359" s="3"/>
    </row>
    <row r="360" spans="1:64" ht="12.75">
      <c r="A360" s="74" t="s">
        <v>81</v>
      </c>
      <c r="B360" s="74" t="s">
        <v>283</v>
      </c>
      <c r="C360" s="74" t="s">
        <v>367</v>
      </c>
      <c r="D360" s="133" t="s">
        <v>840</v>
      </c>
      <c r="E360" s="134"/>
      <c r="F360" s="134"/>
      <c r="G360" s="135"/>
      <c r="H360" s="74" t="s">
        <v>1535</v>
      </c>
      <c r="I360" s="75">
        <v>94.5391</v>
      </c>
      <c r="J360" s="75">
        <v>0</v>
      </c>
      <c r="K360" s="75">
        <f>I360*AO360</f>
        <v>0</v>
      </c>
      <c r="L360" s="75">
        <f>I360*AP360</f>
        <v>0</v>
      </c>
      <c r="M360" s="75">
        <f>I360*J360</f>
        <v>0</v>
      </c>
      <c r="N360" s="78" t="s">
        <v>1556</v>
      </c>
      <c r="O360" s="67"/>
      <c r="Z360" s="28">
        <f>IF(AQ360="5",BJ360,0)</f>
        <v>0</v>
      </c>
      <c r="AB360" s="28">
        <f>IF(AQ360="1",BH360,0)</f>
        <v>0</v>
      </c>
      <c r="AC360" s="28">
        <f>IF(AQ360="1",BI360,0)</f>
        <v>0</v>
      </c>
      <c r="AD360" s="28">
        <f>IF(AQ360="7",BH360,0)</f>
        <v>0</v>
      </c>
      <c r="AE360" s="28">
        <f>IF(AQ360="7",BI360,0)</f>
        <v>0</v>
      </c>
      <c r="AF360" s="28">
        <f>IF(AQ360="2",BH360,0)</f>
        <v>0</v>
      </c>
      <c r="AG360" s="28">
        <f>IF(AQ360="2",BI360,0)</f>
        <v>0</v>
      </c>
      <c r="AH360" s="28">
        <f>IF(AQ360="0",BJ360,0)</f>
        <v>0</v>
      </c>
      <c r="AI360" s="27" t="s">
        <v>283</v>
      </c>
      <c r="AJ360" s="18">
        <f>IF(AN360=0,M360,0)</f>
        <v>0</v>
      </c>
      <c r="AK360" s="18">
        <f>IF(AN360=15,M360,0)</f>
        <v>0</v>
      </c>
      <c r="AL360" s="18">
        <f>IF(AN360=21,M360,0)</f>
        <v>0</v>
      </c>
      <c r="AN360" s="28">
        <v>15</v>
      </c>
      <c r="AO360" s="28">
        <f>J360*0.0570415349463777</f>
        <v>0</v>
      </c>
      <c r="AP360" s="28">
        <f>J360*(1-0.0570415349463777)</f>
        <v>0</v>
      </c>
      <c r="AQ360" s="29" t="s">
        <v>13</v>
      </c>
      <c r="AV360" s="28">
        <f>AW360+AX360</f>
        <v>0</v>
      </c>
      <c r="AW360" s="28">
        <f>I360*AO360</f>
        <v>0</v>
      </c>
      <c r="AX360" s="28">
        <f>I360*AP360</f>
        <v>0</v>
      </c>
      <c r="AY360" s="31" t="s">
        <v>1586</v>
      </c>
      <c r="AZ360" s="31" t="s">
        <v>1619</v>
      </c>
      <c r="BA360" s="27" t="s">
        <v>1628</v>
      </c>
      <c r="BC360" s="28">
        <f>AW360+AX360</f>
        <v>0</v>
      </c>
      <c r="BD360" s="28">
        <f>J360/(100-BE360)*100</f>
        <v>0</v>
      </c>
      <c r="BE360" s="28">
        <v>0</v>
      </c>
      <c r="BF360" s="28">
        <f>360</f>
        <v>360</v>
      </c>
      <c r="BH360" s="18">
        <f>I360*AO360</f>
        <v>0</v>
      </c>
      <c r="BI360" s="18">
        <f>I360*AP360</f>
        <v>0</v>
      </c>
      <c r="BJ360" s="18">
        <f>I360*J360</f>
        <v>0</v>
      </c>
      <c r="BK360" s="18" t="s">
        <v>1634</v>
      </c>
      <c r="BL360" s="28">
        <v>713</v>
      </c>
    </row>
    <row r="361" spans="1:15" ht="12.75">
      <c r="A361" s="3"/>
      <c r="D361" s="136" t="s">
        <v>841</v>
      </c>
      <c r="E361" s="137"/>
      <c r="F361" s="137"/>
      <c r="G361" s="137"/>
      <c r="H361" s="137"/>
      <c r="I361" s="137"/>
      <c r="J361" s="137"/>
      <c r="K361" s="137"/>
      <c r="L361" s="137"/>
      <c r="M361" s="137"/>
      <c r="N361" s="138"/>
      <c r="O361" s="3"/>
    </row>
    <row r="362" spans="1:15" ht="12.75">
      <c r="A362" s="89"/>
      <c r="B362" s="90"/>
      <c r="C362" s="90"/>
      <c r="D362" s="84" t="s">
        <v>842</v>
      </c>
      <c r="G362" s="91" t="s">
        <v>1402</v>
      </c>
      <c r="H362" s="90"/>
      <c r="I362" s="92">
        <v>66.725</v>
      </c>
      <c r="J362" s="90"/>
      <c r="K362" s="90"/>
      <c r="L362" s="90"/>
      <c r="M362" s="90"/>
      <c r="N362" s="79"/>
      <c r="O362" s="67"/>
    </row>
    <row r="363" spans="1:15" ht="12.75">
      <c r="A363" s="82"/>
      <c r="B363" s="83"/>
      <c r="C363" s="83"/>
      <c r="D363" s="85" t="s">
        <v>843</v>
      </c>
      <c r="G363" s="86" t="s">
        <v>1403</v>
      </c>
      <c r="H363" s="83"/>
      <c r="I363" s="88">
        <v>27.8141</v>
      </c>
      <c r="J363" s="83"/>
      <c r="K363" s="83"/>
      <c r="L363" s="83"/>
      <c r="M363" s="83"/>
      <c r="N363" s="80"/>
      <c r="O363" s="67"/>
    </row>
    <row r="364" spans="1:15" ht="12.75">
      <c r="A364" s="3"/>
      <c r="C364" s="12" t="s">
        <v>296</v>
      </c>
      <c r="D364" s="142" t="s">
        <v>622</v>
      </c>
      <c r="E364" s="143"/>
      <c r="F364" s="143"/>
      <c r="G364" s="143"/>
      <c r="H364" s="143"/>
      <c r="I364" s="143"/>
      <c r="J364" s="143"/>
      <c r="K364" s="143"/>
      <c r="L364" s="143"/>
      <c r="M364" s="143"/>
      <c r="N364" s="144"/>
      <c r="O364" s="3"/>
    </row>
    <row r="365" spans="1:64" ht="12.75">
      <c r="A365" s="94" t="s">
        <v>82</v>
      </c>
      <c r="B365" s="94" t="s">
        <v>283</v>
      </c>
      <c r="C365" s="94" t="s">
        <v>368</v>
      </c>
      <c r="D365" s="148" t="s">
        <v>844</v>
      </c>
      <c r="E365" s="149"/>
      <c r="F365" s="149"/>
      <c r="G365" s="150"/>
      <c r="H365" s="94" t="s">
        <v>1535</v>
      </c>
      <c r="I365" s="95">
        <v>96.42988</v>
      </c>
      <c r="J365" s="95">
        <v>0</v>
      </c>
      <c r="K365" s="95">
        <f>I365*AO365</f>
        <v>0</v>
      </c>
      <c r="L365" s="95">
        <f>I365*AP365</f>
        <v>0</v>
      </c>
      <c r="M365" s="95">
        <f>I365*J365</f>
        <v>0</v>
      </c>
      <c r="N365" s="93" t="s">
        <v>1556</v>
      </c>
      <c r="O365" s="67"/>
      <c r="Z365" s="28">
        <f>IF(AQ365="5",BJ365,0)</f>
        <v>0</v>
      </c>
      <c r="AB365" s="28">
        <f>IF(AQ365="1",BH365,0)</f>
        <v>0</v>
      </c>
      <c r="AC365" s="28">
        <f>IF(AQ365="1",BI365,0)</f>
        <v>0</v>
      </c>
      <c r="AD365" s="28">
        <f>IF(AQ365="7",BH365,0)</f>
        <v>0</v>
      </c>
      <c r="AE365" s="28">
        <f>IF(AQ365="7",BI365,0)</f>
        <v>0</v>
      </c>
      <c r="AF365" s="28">
        <f>IF(AQ365="2",BH365,0)</f>
        <v>0</v>
      </c>
      <c r="AG365" s="28">
        <f>IF(AQ365="2",BI365,0)</f>
        <v>0</v>
      </c>
      <c r="AH365" s="28">
        <f>IF(AQ365="0",BJ365,0)</f>
        <v>0</v>
      </c>
      <c r="AI365" s="27" t="s">
        <v>283</v>
      </c>
      <c r="AJ365" s="20">
        <f>IF(AN365=0,M365,0)</f>
        <v>0</v>
      </c>
      <c r="AK365" s="20">
        <f>IF(AN365=15,M365,0)</f>
        <v>0</v>
      </c>
      <c r="AL365" s="20">
        <f>IF(AN365=21,M365,0)</f>
        <v>0</v>
      </c>
      <c r="AN365" s="28">
        <v>15</v>
      </c>
      <c r="AO365" s="28">
        <f>J365*1</f>
        <v>0</v>
      </c>
      <c r="AP365" s="28">
        <f>J365*(1-1)</f>
        <v>0</v>
      </c>
      <c r="AQ365" s="30" t="s">
        <v>13</v>
      </c>
      <c r="AV365" s="28">
        <f>AW365+AX365</f>
        <v>0</v>
      </c>
      <c r="AW365" s="28">
        <f>I365*AO365</f>
        <v>0</v>
      </c>
      <c r="AX365" s="28">
        <f>I365*AP365</f>
        <v>0</v>
      </c>
      <c r="AY365" s="31" t="s">
        <v>1586</v>
      </c>
      <c r="AZ365" s="31" t="s">
        <v>1619</v>
      </c>
      <c r="BA365" s="27" t="s">
        <v>1628</v>
      </c>
      <c r="BC365" s="28">
        <f>AW365+AX365</f>
        <v>0</v>
      </c>
      <c r="BD365" s="28">
        <f>J365/(100-BE365)*100</f>
        <v>0</v>
      </c>
      <c r="BE365" s="28">
        <v>0</v>
      </c>
      <c r="BF365" s="28">
        <f>365</f>
        <v>365</v>
      </c>
      <c r="BH365" s="20">
        <f>I365*AO365</f>
        <v>0</v>
      </c>
      <c r="BI365" s="20">
        <f>I365*AP365</f>
        <v>0</v>
      </c>
      <c r="BJ365" s="20">
        <f>I365*J365</f>
        <v>0</v>
      </c>
      <c r="BK365" s="20" t="s">
        <v>1635</v>
      </c>
      <c r="BL365" s="28">
        <v>713</v>
      </c>
    </row>
    <row r="366" spans="1:15" ht="12.75">
      <c r="A366" s="89"/>
      <c r="B366" s="90"/>
      <c r="C366" s="90"/>
      <c r="D366" s="84" t="s">
        <v>842</v>
      </c>
      <c r="G366" s="91" t="s">
        <v>1402</v>
      </c>
      <c r="H366" s="90"/>
      <c r="I366" s="92">
        <v>66.725</v>
      </c>
      <c r="J366" s="90"/>
      <c r="K366" s="90"/>
      <c r="L366" s="90"/>
      <c r="M366" s="90"/>
      <c r="N366" s="79"/>
      <c r="O366" s="67"/>
    </row>
    <row r="367" spans="1:15" ht="12.75">
      <c r="A367" s="89"/>
      <c r="B367" s="90"/>
      <c r="C367" s="90"/>
      <c r="D367" s="84" t="s">
        <v>843</v>
      </c>
      <c r="G367" s="91" t="s">
        <v>1403</v>
      </c>
      <c r="H367" s="90"/>
      <c r="I367" s="92">
        <v>27.8141</v>
      </c>
      <c r="J367" s="90"/>
      <c r="K367" s="90"/>
      <c r="L367" s="90"/>
      <c r="M367" s="90"/>
      <c r="N367" s="79"/>
      <c r="O367" s="67"/>
    </row>
    <row r="368" spans="1:15" ht="12.75">
      <c r="A368" s="82"/>
      <c r="B368" s="83"/>
      <c r="C368" s="83"/>
      <c r="D368" s="85" t="s">
        <v>845</v>
      </c>
      <c r="G368" s="86"/>
      <c r="H368" s="83"/>
      <c r="I368" s="88">
        <v>1.89078</v>
      </c>
      <c r="J368" s="83"/>
      <c r="K368" s="83"/>
      <c r="L368" s="83"/>
      <c r="M368" s="83"/>
      <c r="N368" s="80"/>
      <c r="O368" s="67"/>
    </row>
    <row r="369" spans="1:15" ht="25.5" customHeight="1">
      <c r="A369" s="3"/>
      <c r="C369" s="13" t="s">
        <v>302</v>
      </c>
      <c r="D369" s="145" t="s">
        <v>846</v>
      </c>
      <c r="E369" s="146"/>
      <c r="F369" s="146"/>
      <c r="G369" s="146"/>
      <c r="H369" s="146"/>
      <c r="I369" s="146"/>
      <c r="J369" s="146"/>
      <c r="K369" s="146"/>
      <c r="L369" s="146"/>
      <c r="M369" s="146"/>
      <c r="N369" s="147"/>
      <c r="O369" s="3"/>
    </row>
    <row r="370" spans="1:15" ht="12.75">
      <c r="A370" s="3"/>
      <c r="C370" s="12" t="s">
        <v>296</v>
      </c>
      <c r="D370" s="142" t="s">
        <v>622</v>
      </c>
      <c r="E370" s="143"/>
      <c r="F370" s="143"/>
      <c r="G370" s="143"/>
      <c r="H370" s="143"/>
      <c r="I370" s="143"/>
      <c r="J370" s="143"/>
      <c r="K370" s="143"/>
      <c r="L370" s="143"/>
      <c r="M370" s="143"/>
      <c r="N370" s="144"/>
      <c r="O370" s="3"/>
    </row>
    <row r="371" spans="1:64" ht="12.75">
      <c r="A371" s="74" t="s">
        <v>83</v>
      </c>
      <c r="B371" s="74" t="s">
        <v>283</v>
      </c>
      <c r="C371" s="74" t="s">
        <v>369</v>
      </c>
      <c r="D371" s="133" t="s">
        <v>847</v>
      </c>
      <c r="E371" s="134"/>
      <c r="F371" s="134"/>
      <c r="G371" s="135"/>
      <c r="H371" s="74" t="s">
        <v>1535</v>
      </c>
      <c r="I371" s="75">
        <v>94.5391</v>
      </c>
      <c r="J371" s="75">
        <v>0</v>
      </c>
      <c r="K371" s="75">
        <f>I371*AO371</f>
        <v>0</v>
      </c>
      <c r="L371" s="75">
        <f>I371*AP371</f>
        <v>0</v>
      </c>
      <c r="M371" s="75">
        <f>I371*J371</f>
        <v>0</v>
      </c>
      <c r="N371" s="78" t="s">
        <v>1556</v>
      </c>
      <c r="O371" s="67"/>
      <c r="Z371" s="28">
        <f>IF(AQ371="5",BJ371,0)</f>
        <v>0</v>
      </c>
      <c r="AB371" s="28">
        <f>IF(AQ371="1",BH371,0)</f>
        <v>0</v>
      </c>
      <c r="AC371" s="28">
        <f>IF(AQ371="1",BI371,0)</f>
        <v>0</v>
      </c>
      <c r="AD371" s="28">
        <f>IF(AQ371="7",BH371,0)</f>
        <v>0</v>
      </c>
      <c r="AE371" s="28">
        <f>IF(AQ371="7",BI371,0)</f>
        <v>0</v>
      </c>
      <c r="AF371" s="28">
        <f>IF(AQ371="2",BH371,0)</f>
        <v>0</v>
      </c>
      <c r="AG371" s="28">
        <f>IF(AQ371="2",BI371,0)</f>
        <v>0</v>
      </c>
      <c r="AH371" s="28">
        <f>IF(AQ371="0",BJ371,0)</f>
        <v>0</v>
      </c>
      <c r="AI371" s="27" t="s">
        <v>283</v>
      </c>
      <c r="AJ371" s="18">
        <f>IF(AN371=0,M371,0)</f>
        <v>0</v>
      </c>
      <c r="AK371" s="18">
        <f>IF(AN371=15,M371,0)</f>
        <v>0</v>
      </c>
      <c r="AL371" s="18">
        <f>IF(AN371=21,M371,0)</f>
        <v>0</v>
      </c>
      <c r="AN371" s="28">
        <v>15</v>
      </c>
      <c r="AO371" s="28">
        <f>J371*0</f>
        <v>0</v>
      </c>
      <c r="AP371" s="28">
        <f>J371*(1-0)</f>
        <v>0</v>
      </c>
      <c r="AQ371" s="29" t="s">
        <v>13</v>
      </c>
      <c r="AV371" s="28">
        <f>AW371+AX371</f>
        <v>0</v>
      </c>
      <c r="AW371" s="28">
        <f>I371*AO371</f>
        <v>0</v>
      </c>
      <c r="AX371" s="28">
        <f>I371*AP371</f>
        <v>0</v>
      </c>
      <c r="AY371" s="31" t="s">
        <v>1586</v>
      </c>
      <c r="AZ371" s="31" t="s">
        <v>1619</v>
      </c>
      <c r="BA371" s="27" t="s">
        <v>1628</v>
      </c>
      <c r="BC371" s="28">
        <f>AW371+AX371</f>
        <v>0</v>
      </c>
      <c r="BD371" s="28">
        <f>J371/(100-BE371)*100</f>
        <v>0</v>
      </c>
      <c r="BE371" s="28">
        <v>0</v>
      </c>
      <c r="BF371" s="28">
        <f>371</f>
        <v>371</v>
      </c>
      <c r="BH371" s="18">
        <f>I371*AO371</f>
        <v>0</v>
      </c>
      <c r="BI371" s="18">
        <f>I371*AP371</f>
        <v>0</v>
      </c>
      <c r="BJ371" s="18">
        <f>I371*J371</f>
        <v>0</v>
      </c>
      <c r="BK371" s="18" t="s">
        <v>1634</v>
      </c>
      <c r="BL371" s="28">
        <v>713</v>
      </c>
    </row>
    <row r="372" spans="1:15" ht="12.75">
      <c r="A372" s="3"/>
      <c r="D372" s="136" t="s">
        <v>848</v>
      </c>
      <c r="E372" s="137"/>
      <c r="F372" s="137"/>
      <c r="G372" s="137"/>
      <c r="H372" s="137"/>
      <c r="I372" s="137"/>
      <c r="J372" s="137"/>
      <c r="K372" s="137"/>
      <c r="L372" s="137"/>
      <c r="M372" s="137"/>
      <c r="N372" s="138"/>
      <c r="O372" s="3"/>
    </row>
    <row r="373" spans="1:15" ht="12.75">
      <c r="A373" s="89"/>
      <c r="B373" s="90"/>
      <c r="C373" s="90"/>
      <c r="D373" s="84" t="s">
        <v>842</v>
      </c>
      <c r="G373" s="91" t="s">
        <v>1404</v>
      </c>
      <c r="H373" s="90"/>
      <c r="I373" s="92">
        <v>66.725</v>
      </c>
      <c r="J373" s="90"/>
      <c r="K373" s="90"/>
      <c r="L373" s="90"/>
      <c r="M373" s="90"/>
      <c r="N373" s="79"/>
      <c r="O373" s="67"/>
    </row>
    <row r="374" spans="1:15" ht="12.75">
      <c r="A374" s="82"/>
      <c r="B374" s="83"/>
      <c r="C374" s="83"/>
      <c r="D374" s="85" t="s">
        <v>843</v>
      </c>
      <c r="G374" s="86" t="s">
        <v>1403</v>
      </c>
      <c r="H374" s="83"/>
      <c r="I374" s="88">
        <v>27.8141</v>
      </c>
      <c r="J374" s="83"/>
      <c r="K374" s="83"/>
      <c r="L374" s="83"/>
      <c r="M374" s="83"/>
      <c r="N374" s="80"/>
      <c r="O374" s="67"/>
    </row>
    <row r="375" spans="1:15" ht="12.75">
      <c r="A375" s="3"/>
      <c r="C375" s="12" t="s">
        <v>296</v>
      </c>
      <c r="D375" s="142" t="s">
        <v>622</v>
      </c>
      <c r="E375" s="143"/>
      <c r="F375" s="143"/>
      <c r="G375" s="143"/>
      <c r="H375" s="143"/>
      <c r="I375" s="143"/>
      <c r="J375" s="143"/>
      <c r="K375" s="143"/>
      <c r="L375" s="143"/>
      <c r="M375" s="143"/>
      <c r="N375" s="144"/>
      <c r="O375" s="3"/>
    </row>
    <row r="376" spans="1:64" ht="12.75">
      <c r="A376" s="74" t="s">
        <v>84</v>
      </c>
      <c r="B376" s="74" t="s">
        <v>283</v>
      </c>
      <c r="C376" s="74" t="s">
        <v>370</v>
      </c>
      <c r="D376" s="133" t="s">
        <v>849</v>
      </c>
      <c r="E376" s="134"/>
      <c r="F376" s="134"/>
      <c r="G376" s="135"/>
      <c r="H376" s="74" t="s">
        <v>1535</v>
      </c>
      <c r="I376" s="75">
        <v>69.639</v>
      </c>
      <c r="J376" s="75">
        <v>0</v>
      </c>
      <c r="K376" s="75">
        <f>I376*AO376</f>
        <v>0</v>
      </c>
      <c r="L376" s="75">
        <f>I376*AP376</f>
        <v>0</v>
      </c>
      <c r="M376" s="75">
        <f>I376*J376</f>
        <v>0</v>
      </c>
      <c r="N376" s="78" t="s">
        <v>1556</v>
      </c>
      <c r="O376" s="67"/>
      <c r="Z376" s="28">
        <f>IF(AQ376="5",BJ376,0)</f>
        <v>0</v>
      </c>
      <c r="AB376" s="28">
        <f>IF(AQ376="1",BH376,0)</f>
        <v>0</v>
      </c>
      <c r="AC376" s="28">
        <f>IF(AQ376="1",BI376,0)</f>
        <v>0</v>
      </c>
      <c r="AD376" s="28">
        <f>IF(AQ376="7",BH376,0)</f>
        <v>0</v>
      </c>
      <c r="AE376" s="28">
        <f>IF(AQ376="7",BI376,0)</f>
        <v>0</v>
      </c>
      <c r="AF376" s="28">
        <f>IF(AQ376="2",BH376,0)</f>
        <v>0</v>
      </c>
      <c r="AG376" s="28">
        <f>IF(AQ376="2",BI376,0)</f>
        <v>0</v>
      </c>
      <c r="AH376" s="28">
        <f>IF(AQ376="0",BJ376,0)</f>
        <v>0</v>
      </c>
      <c r="AI376" s="27" t="s">
        <v>283</v>
      </c>
      <c r="AJ376" s="18">
        <f>IF(AN376=0,M376,0)</f>
        <v>0</v>
      </c>
      <c r="AK376" s="18">
        <f>IF(AN376=15,M376,0)</f>
        <v>0</v>
      </c>
      <c r="AL376" s="18">
        <f>IF(AN376=21,M376,0)</f>
        <v>0</v>
      </c>
      <c r="AN376" s="28">
        <v>15</v>
      </c>
      <c r="AO376" s="28">
        <f>J376*0</f>
        <v>0</v>
      </c>
      <c r="AP376" s="28">
        <f>J376*(1-0)</f>
        <v>0</v>
      </c>
      <c r="AQ376" s="29" t="s">
        <v>13</v>
      </c>
      <c r="AV376" s="28">
        <f>AW376+AX376</f>
        <v>0</v>
      </c>
      <c r="AW376" s="28">
        <f>I376*AO376</f>
        <v>0</v>
      </c>
      <c r="AX376" s="28">
        <f>I376*AP376</f>
        <v>0</v>
      </c>
      <c r="AY376" s="31" t="s">
        <v>1586</v>
      </c>
      <c r="AZ376" s="31" t="s">
        <v>1619</v>
      </c>
      <c r="BA376" s="27" t="s">
        <v>1628</v>
      </c>
      <c r="BC376" s="28">
        <f>AW376+AX376</f>
        <v>0</v>
      </c>
      <c r="BD376" s="28">
        <f>J376/(100-BE376)*100</f>
        <v>0</v>
      </c>
      <c r="BE376" s="28">
        <v>0</v>
      </c>
      <c r="BF376" s="28">
        <f>376</f>
        <v>376</v>
      </c>
      <c r="BH376" s="18">
        <f>I376*AO376</f>
        <v>0</v>
      </c>
      <c r="BI376" s="18">
        <f>I376*AP376</f>
        <v>0</v>
      </c>
      <c r="BJ376" s="18">
        <f>I376*J376</f>
        <v>0</v>
      </c>
      <c r="BK376" s="18" t="s">
        <v>1634</v>
      </c>
      <c r="BL376" s="28">
        <v>713</v>
      </c>
    </row>
    <row r="377" spans="1:15" ht="12.75">
      <c r="A377" s="3"/>
      <c r="D377" s="136" t="s">
        <v>850</v>
      </c>
      <c r="E377" s="137"/>
      <c r="F377" s="137"/>
      <c r="G377" s="137"/>
      <c r="H377" s="137"/>
      <c r="I377" s="137"/>
      <c r="J377" s="137"/>
      <c r="K377" s="137"/>
      <c r="L377" s="137"/>
      <c r="M377" s="137"/>
      <c r="N377" s="138"/>
      <c r="O377" s="3"/>
    </row>
    <row r="378" spans="1:15" ht="12.75">
      <c r="A378" s="89"/>
      <c r="B378" s="90"/>
      <c r="C378" s="90"/>
      <c r="D378" s="84" t="s">
        <v>851</v>
      </c>
      <c r="G378" s="91" t="s">
        <v>1405</v>
      </c>
      <c r="H378" s="90"/>
      <c r="I378" s="92">
        <v>45.864</v>
      </c>
      <c r="J378" s="90"/>
      <c r="K378" s="90"/>
      <c r="L378" s="90"/>
      <c r="M378" s="90"/>
      <c r="N378" s="79"/>
      <c r="O378" s="67"/>
    </row>
    <row r="379" spans="1:15" ht="12.75">
      <c r="A379" s="82"/>
      <c r="B379" s="83"/>
      <c r="C379" s="83"/>
      <c r="D379" s="85" t="s">
        <v>852</v>
      </c>
      <c r="G379" s="86" t="s">
        <v>1406</v>
      </c>
      <c r="H379" s="83"/>
      <c r="I379" s="88">
        <v>23.775</v>
      </c>
      <c r="J379" s="83"/>
      <c r="K379" s="83"/>
      <c r="L379" s="83"/>
      <c r="M379" s="83"/>
      <c r="N379" s="80"/>
      <c r="O379" s="67"/>
    </row>
    <row r="380" spans="1:15" ht="12.75">
      <c r="A380" s="3"/>
      <c r="C380" s="12" t="s">
        <v>296</v>
      </c>
      <c r="D380" s="142" t="s">
        <v>622</v>
      </c>
      <c r="E380" s="143"/>
      <c r="F380" s="143"/>
      <c r="G380" s="143"/>
      <c r="H380" s="143"/>
      <c r="I380" s="143"/>
      <c r="J380" s="143"/>
      <c r="K380" s="143"/>
      <c r="L380" s="143"/>
      <c r="M380" s="143"/>
      <c r="N380" s="144"/>
      <c r="O380" s="3"/>
    </row>
    <row r="381" spans="1:64" ht="12.75">
      <c r="A381" s="74" t="s">
        <v>85</v>
      </c>
      <c r="B381" s="74" t="s">
        <v>283</v>
      </c>
      <c r="C381" s="74" t="s">
        <v>371</v>
      </c>
      <c r="D381" s="133" t="s">
        <v>853</v>
      </c>
      <c r="E381" s="134"/>
      <c r="F381" s="134"/>
      <c r="G381" s="135"/>
      <c r="H381" s="74" t="s">
        <v>1538</v>
      </c>
      <c r="I381" s="75">
        <v>40</v>
      </c>
      <c r="J381" s="75">
        <v>0</v>
      </c>
      <c r="K381" s="75">
        <f>I381*AO381</f>
        <v>0</v>
      </c>
      <c r="L381" s="75">
        <f>I381*AP381</f>
        <v>0</v>
      </c>
      <c r="M381" s="75">
        <f>I381*J381</f>
        <v>0</v>
      </c>
      <c r="N381" s="78" t="s">
        <v>1556</v>
      </c>
      <c r="O381" s="67"/>
      <c r="Z381" s="28">
        <f>IF(AQ381="5",BJ381,0)</f>
        <v>0</v>
      </c>
      <c r="AB381" s="28">
        <f>IF(AQ381="1",BH381,0)</f>
        <v>0</v>
      </c>
      <c r="AC381" s="28">
        <f>IF(AQ381="1",BI381,0)</f>
        <v>0</v>
      </c>
      <c r="AD381" s="28">
        <f>IF(AQ381="7",BH381,0)</f>
        <v>0</v>
      </c>
      <c r="AE381" s="28">
        <f>IF(AQ381="7",BI381,0)</f>
        <v>0</v>
      </c>
      <c r="AF381" s="28">
        <f>IF(AQ381="2",BH381,0)</f>
        <v>0</v>
      </c>
      <c r="AG381" s="28">
        <f>IF(AQ381="2",BI381,0)</f>
        <v>0</v>
      </c>
      <c r="AH381" s="28">
        <f>IF(AQ381="0",BJ381,0)</f>
        <v>0</v>
      </c>
      <c r="AI381" s="27" t="s">
        <v>283</v>
      </c>
      <c r="AJ381" s="18">
        <f>IF(AN381=0,M381,0)</f>
        <v>0</v>
      </c>
      <c r="AK381" s="18">
        <f>IF(AN381=15,M381,0)</f>
        <v>0</v>
      </c>
      <c r="AL381" s="18">
        <f>IF(AN381=21,M381,0)</f>
        <v>0</v>
      </c>
      <c r="AN381" s="28">
        <v>15</v>
      </c>
      <c r="AO381" s="28">
        <f>J381*0</f>
        <v>0</v>
      </c>
      <c r="AP381" s="28">
        <f>J381*(1-0)</f>
        <v>0</v>
      </c>
      <c r="AQ381" s="29" t="s">
        <v>13</v>
      </c>
      <c r="AV381" s="28">
        <f>AW381+AX381</f>
        <v>0</v>
      </c>
      <c r="AW381" s="28">
        <f>I381*AO381</f>
        <v>0</v>
      </c>
      <c r="AX381" s="28">
        <f>I381*AP381</f>
        <v>0</v>
      </c>
      <c r="AY381" s="31" t="s">
        <v>1586</v>
      </c>
      <c r="AZ381" s="31" t="s">
        <v>1619</v>
      </c>
      <c r="BA381" s="27" t="s">
        <v>1628</v>
      </c>
      <c r="BC381" s="28">
        <f>AW381+AX381</f>
        <v>0</v>
      </c>
      <c r="BD381" s="28">
        <f>J381/(100-BE381)*100</f>
        <v>0</v>
      </c>
      <c r="BE381" s="28">
        <v>0</v>
      </c>
      <c r="BF381" s="28">
        <f>381</f>
        <v>381</v>
      </c>
      <c r="BH381" s="18">
        <f>I381*AO381</f>
        <v>0</v>
      </c>
      <c r="BI381" s="18">
        <f>I381*AP381</f>
        <v>0</v>
      </c>
      <c r="BJ381" s="18">
        <f>I381*J381</f>
        <v>0</v>
      </c>
      <c r="BK381" s="18" t="s">
        <v>1634</v>
      </c>
      <c r="BL381" s="28">
        <v>713</v>
      </c>
    </row>
    <row r="382" spans="1:15" ht="12.75">
      <c r="A382" s="3"/>
      <c r="D382" s="136" t="s">
        <v>854</v>
      </c>
      <c r="E382" s="137"/>
      <c r="F382" s="137"/>
      <c r="G382" s="137"/>
      <c r="H382" s="137"/>
      <c r="I382" s="137"/>
      <c r="J382" s="137"/>
      <c r="K382" s="137"/>
      <c r="L382" s="137"/>
      <c r="M382" s="137"/>
      <c r="N382" s="138"/>
      <c r="O382" s="3"/>
    </row>
    <row r="383" spans="1:15" ht="12.75">
      <c r="A383" s="82"/>
      <c r="B383" s="83"/>
      <c r="C383" s="83"/>
      <c r="D383" s="85" t="s">
        <v>46</v>
      </c>
      <c r="G383" s="86" t="s">
        <v>1407</v>
      </c>
      <c r="H383" s="83"/>
      <c r="I383" s="88">
        <v>40</v>
      </c>
      <c r="J383" s="83"/>
      <c r="K383" s="83"/>
      <c r="L383" s="83"/>
      <c r="M383" s="83"/>
      <c r="N383" s="80"/>
      <c r="O383" s="67"/>
    </row>
    <row r="384" spans="1:15" ht="12.75">
      <c r="A384" s="3"/>
      <c r="C384" s="12" t="s">
        <v>296</v>
      </c>
      <c r="D384" s="142" t="s">
        <v>622</v>
      </c>
      <c r="E384" s="143"/>
      <c r="F384" s="143"/>
      <c r="G384" s="143"/>
      <c r="H384" s="143"/>
      <c r="I384" s="143"/>
      <c r="J384" s="143"/>
      <c r="K384" s="143"/>
      <c r="L384" s="143"/>
      <c r="M384" s="143"/>
      <c r="N384" s="144"/>
      <c r="O384" s="3"/>
    </row>
    <row r="385" spans="1:64" ht="12.75">
      <c r="A385" s="74" t="s">
        <v>86</v>
      </c>
      <c r="B385" s="74" t="s">
        <v>283</v>
      </c>
      <c r="C385" s="74" t="s">
        <v>372</v>
      </c>
      <c r="D385" s="133" t="s">
        <v>855</v>
      </c>
      <c r="E385" s="134"/>
      <c r="F385" s="134"/>
      <c r="G385" s="135"/>
      <c r="H385" s="74" t="s">
        <v>1538</v>
      </c>
      <c r="I385" s="75">
        <v>70</v>
      </c>
      <c r="J385" s="75">
        <v>0</v>
      </c>
      <c r="K385" s="75">
        <f>I385*AO385</f>
        <v>0</v>
      </c>
      <c r="L385" s="75">
        <f>I385*AP385</f>
        <v>0</v>
      </c>
      <c r="M385" s="75">
        <f>I385*J385</f>
        <v>0</v>
      </c>
      <c r="N385" s="78" t="s">
        <v>1556</v>
      </c>
      <c r="O385" s="67"/>
      <c r="Z385" s="28">
        <f>IF(AQ385="5",BJ385,0)</f>
        <v>0</v>
      </c>
      <c r="AB385" s="28">
        <f>IF(AQ385="1",BH385,0)</f>
        <v>0</v>
      </c>
      <c r="AC385" s="28">
        <f>IF(AQ385="1",BI385,0)</f>
        <v>0</v>
      </c>
      <c r="AD385" s="28">
        <f>IF(AQ385="7",BH385,0)</f>
        <v>0</v>
      </c>
      <c r="AE385" s="28">
        <f>IF(AQ385="7",BI385,0)</f>
        <v>0</v>
      </c>
      <c r="AF385" s="28">
        <f>IF(AQ385="2",BH385,0)</f>
        <v>0</v>
      </c>
      <c r="AG385" s="28">
        <f>IF(AQ385="2",BI385,0)</f>
        <v>0</v>
      </c>
      <c r="AH385" s="28">
        <f>IF(AQ385="0",BJ385,0)</f>
        <v>0</v>
      </c>
      <c r="AI385" s="27" t="s">
        <v>283</v>
      </c>
      <c r="AJ385" s="18">
        <f>IF(AN385=0,M385,0)</f>
        <v>0</v>
      </c>
      <c r="AK385" s="18">
        <f>IF(AN385=15,M385,0)</f>
        <v>0</v>
      </c>
      <c r="AL385" s="18">
        <f>IF(AN385=21,M385,0)</f>
        <v>0</v>
      </c>
      <c r="AN385" s="28">
        <v>15</v>
      </c>
      <c r="AO385" s="28">
        <f>J385*0</f>
        <v>0</v>
      </c>
      <c r="AP385" s="28">
        <f>J385*(1-0)</f>
        <v>0</v>
      </c>
      <c r="AQ385" s="29" t="s">
        <v>13</v>
      </c>
      <c r="AV385" s="28">
        <f>AW385+AX385</f>
        <v>0</v>
      </c>
      <c r="AW385" s="28">
        <f>I385*AO385</f>
        <v>0</v>
      </c>
      <c r="AX385" s="28">
        <f>I385*AP385</f>
        <v>0</v>
      </c>
      <c r="AY385" s="31" t="s">
        <v>1586</v>
      </c>
      <c r="AZ385" s="31" t="s">
        <v>1619</v>
      </c>
      <c r="BA385" s="27" t="s">
        <v>1628</v>
      </c>
      <c r="BC385" s="28">
        <f>AW385+AX385</f>
        <v>0</v>
      </c>
      <c r="BD385" s="28">
        <f>J385/(100-BE385)*100</f>
        <v>0</v>
      </c>
      <c r="BE385" s="28">
        <v>0</v>
      </c>
      <c r="BF385" s="28">
        <f>385</f>
        <v>385</v>
      </c>
      <c r="BH385" s="18">
        <f>I385*AO385</f>
        <v>0</v>
      </c>
      <c r="BI385" s="18">
        <f>I385*AP385</f>
        <v>0</v>
      </c>
      <c r="BJ385" s="18">
        <f>I385*J385</f>
        <v>0</v>
      </c>
      <c r="BK385" s="18" t="s">
        <v>1634</v>
      </c>
      <c r="BL385" s="28">
        <v>713</v>
      </c>
    </row>
    <row r="386" spans="1:15" ht="12.75">
      <c r="A386" s="3"/>
      <c r="D386" s="136" t="s">
        <v>856</v>
      </c>
      <c r="E386" s="137"/>
      <c r="F386" s="137"/>
      <c r="G386" s="137"/>
      <c r="H386" s="137"/>
      <c r="I386" s="137"/>
      <c r="J386" s="137"/>
      <c r="K386" s="137"/>
      <c r="L386" s="137"/>
      <c r="M386" s="137"/>
      <c r="N386" s="138"/>
      <c r="O386" s="3"/>
    </row>
    <row r="387" spans="1:15" ht="12.75">
      <c r="A387" s="89"/>
      <c r="B387" s="90"/>
      <c r="C387" s="90"/>
      <c r="D387" s="84" t="s">
        <v>56</v>
      </c>
      <c r="G387" s="91" t="s">
        <v>1408</v>
      </c>
      <c r="H387" s="90"/>
      <c r="I387" s="92">
        <v>50</v>
      </c>
      <c r="J387" s="90"/>
      <c r="K387" s="90"/>
      <c r="L387" s="90"/>
      <c r="M387" s="90"/>
      <c r="N387" s="79"/>
      <c r="O387" s="67"/>
    </row>
    <row r="388" spans="1:15" ht="12.75">
      <c r="A388" s="82"/>
      <c r="B388" s="83"/>
      <c r="C388" s="83"/>
      <c r="D388" s="85" t="s">
        <v>26</v>
      </c>
      <c r="G388" s="86" t="s">
        <v>1409</v>
      </c>
      <c r="H388" s="83"/>
      <c r="I388" s="88">
        <v>20</v>
      </c>
      <c r="J388" s="83"/>
      <c r="K388" s="83"/>
      <c r="L388" s="83"/>
      <c r="M388" s="83"/>
      <c r="N388" s="80"/>
      <c r="O388" s="67"/>
    </row>
    <row r="389" spans="1:15" ht="12.75">
      <c r="A389" s="3"/>
      <c r="C389" s="12" t="s">
        <v>296</v>
      </c>
      <c r="D389" s="142" t="s">
        <v>622</v>
      </c>
      <c r="E389" s="143"/>
      <c r="F389" s="143"/>
      <c r="G389" s="143"/>
      <c r="H389" s="143"/>
      <c r="I389" s="143"/>
      <c r="J389" s="143"/>
      <c r="K389" s="143"/>
      <c r="L389" s="143"/>
      <c r="M389" s="143"/>
      <c r="N389" s="144"/>
      <c r="O389" s="3"/>
    </row>
    <row r="390" spans="1:64" ht="12.75">
      <c r="A390" s="74" t="s">
        <v>87</v>
      </c>
      <c r="B390" s="74" t="s">
        <v>283</v>
      </c>
      <c r="C390" s="74" t="s">
        <v>373</v>
      </c>
      <c r="D390" s="133" t="s">
        <v>857</v>
      </c>
      <c r="E390" s="134"/>
      <c r="F390" s="134"/>
      <c r="G390" s="135"/>
      <c r="H390" s="74" t="s">
        <v>1535</v>
      </c>
      <c r="I390" s="75">
        <v>69.639</v>
      </c>
      <c r="J390" s="75">
        <v>0</v>
      </c>
      <c r="K390" s="75">
        <f>I390*AO390</f>
        <v>0</v>
      </c>
      <c r="L390" s="75">
        <f>I390*AP390</f>
        <v>0</v>
      </c>
      <c r="M390" s="75">
        <f>I390*J390</f>
        <v>0</v>
      </c>
      <c r="N390" s="78" t="s">
        <v>1556</v>
      </c>
      <c r="O390" s="67"/>
      <c r="Z390" s="28">
        <f>IF(AQ390="5",BJ390,0)</f>
        <v>0</v>
      </c>
      <c r="AB390" s="28">
        <f>IF(AQ390="1",BH390,0)</f>
        <v>0</v>
      </c>
      <c r="AC390" s="28">
        <f>IF(AQ390="1",BI390,0)</f>
        <v>0</v>
      </c>
      <c r="AD390" s="28">
        <f>IF(AQ390="7",BH390,0)</f>
        <v>0</v>
      </c>
      <c r="AE390" s="28">
        <f>IF(AQ390="7",BI390,0)</f>
        <v>0</v>
      </c>
      <c r="AF390" s="28">
        <f>IF(AQ390="2",BH390,0)</f>
        <v>0</v>
      </c>
      <c r="AG390" s="28">
        <f>IF(AQ390="2",BI390,0)</f>
        <v>0</v>
      </c>
      <c r="AH390" s="28">
        <f>IF(AQ390="0",BJ390,0)</f>
        <v>0</v>
      </c>
      <c r="AI390" s="27" t="s">
        <v>283</v>
      </c>
      <c r="AJ390" s="18">
        <f>IF(AN390=0,M390,0)</f>
        <v>0</v>
      </c>
      <c r="AK390" s="18">
        <f>IF(AN390=15,M390,0)</f>
        <v>0</v>
      </c>
      <c r="AL390" s="18">
        <f>IF(AN390=21,M390,0)</f>
        <v>0</v>
      </c>
      <c r="AN390" s="28">
        <v>15</v>
      </c>
      <c r="AO390" s="28">
        <f>J390*0</f>
        <v>0</v>
      </c>
      <c r="AP390" s="28">
        <f>J390*(1-0)</f>
        <v>0</v>
      </c>
      <c r="AQ390" s="29" t="s">
        <v>13</v>
      </c>
      <c r="AV390" s="28">
        <f>AW390+AX390</f>
        <v>0</v>
      </c>
      <c r="AW390" s="28">
        <f>I390*AO390</f>
        <v>0</v>
      </c>
      <c r="AX390" s="28">
        <f>I390*AP390</f>
        <v>0</v>
      </c>
      <c r="AY390" s="31" t="s">
        <v>1586</v>
      </c>
      <c r="AZ390" s="31" t="s">
        <v>1619</v>
      </c>
      <c r="BA390" s="27" t="s">
        <v>1628</v>
      </c>
      <c r="BC390" s="28">
        <f>AW390+AX390</f>
        <v>0</v>
      </c>
      <c r="BD390" s="28">
        <f>J390/(100-BE390)*100</f>
        <v>0</v>
      </c>
      <c r="BE390" s="28">
        <v>0</v>
      </c>
      <c r="BF390" s="28">
        <f>390</f>
        <v>390</v>
      </c>
      <c r="BH390" s="18">
        <f>I390*AO390</f>
        <v>0</v>
      </c>
      <c r="BI390" s="18">
        <f>I390*AP390</f>
        <v>0</v>
      </c>
      <c r="BJ390" s="18">
        <f>I390*J390</f>
        <v>0</v>
      </c>
      <c r="BK390" s="18" t="s">
        <v>1634</v>
      </c>
      <c r="BL390" s="28">
        <v>713</v>
      </c>
    </row>
    <row r="391" spans="1:15" ht="12.75">
      <c r="A391" s="3"/>
      <c r="D391" s="136" t="s">
        <v>841</v>
      </c>
      <c r="E391" s="137"/>
      <c r="F391" s="137"/>
      <c r="G391" s="137"/>
      <c r="H391" s="137"/>
      <c r="I391" s="137"/>
      <c r="J391" s="137"/>
      <c r="K391" s="137"/>
      <c r="L391" s="137"/>
      <c r="M391" s="137"/>
      <c r="N391" s="138"/>
      <c r="O391" s="3"/>
    </row>
    <row r="392" spans="1:15" ht="12.75">
      <c r="A392" s="89"/>
      <c r="B392" s="90"/>
      <c r="C392" s="90"/>
      <c r="D392" s="84" t="s">
        <v>851</v>
      </c>
      <c r="G392" s="91" t="s">
        <v>1408</v>
      </c>
      <c r="H392" s="90"/>
      <c r="I392" s="92">
        <v>45.864</v>
      </c>
      <c r="J392" s="90"/>
      <c r="K392" s="90"/>
      <c r="L392" s="90"/>
      <c r="M392" s="90"/>
      <c r="N392" s="79"/>
      <c r="O392" s="67"/>
    </row>
    <row r="393" spans="1:15" ht="12.75">
      <c r="A393" s="82"/>
      <c r="B393" s="83"/>
      <c r="C393" s="83"/>
      <c r="D393" s="85" t="s">
        <v>852</v>
      </c>
      <c r="G393" s="86" t="s">
        <v>1409</v>
      </c>
      <c r="H393" s="83"/>
      <c r="I393" s="88">
        <v>23.775</v>
      </c>
      <c r="J393" s="83"/>
      <c r="K393" s="83"/>
      <c r="L393" s="83"/>
      <c r="M393" s="83"/>
      <c r="N393" s="80"/>
      <c r="O393" s="67"/>
    </row>
    <row r="394" spans="1:15" ht="12.75">
      <c r="A394" s="3"/>
      <c r="C394" s="13" t="s">
        <v>302</v>
      </c>
      <c r="D394" s="145" t="s">
        <v>858</v>
      </c>
      <c r="E394" s="146"/>
      <c r="F394" s="146"/>
      <c r="G394" s="146"/>
      <c r="H394" s="146"/>
      <c r="I394" s="146"/>
      <c r="J394" s="146"/>
      <c r="K394" s="146"/>
      <c r="L394" s="146"/>
      <c r="M394" s="146"/>
      <c r="N394" s="147"/>
      <c r="O394" s="3"/>
    </row>
    <row r="395" spans="1:15" ht="12.75">
      <c r="A395" s="3"/>
      <c r="C395" s="12" t="s">
        <v>296</v>
      </c>
      <c r="D395" s="142" t="s">
        <v>622</v>
      </c>
      <c r="E395" s="143"/>
      <c r="F395" s="143"/>
      <c r="G395" s="143"/>
      <c r="H395" s="143"/>
      <c r="I395" s="143"/>
      <c r="J395" s="143"/>
      <c r="K395" s="143"/>
      <c r="L395" s="143"/>
      <c r="M395" s="143"/>
      <c r="N395" s="144"/>
      <c r="O395" s="3"/>
    </row>
    <row r="396" spans="1:64" ht="12.75">
      <c r="A396" s="94" t="s">
        <v>88</v>
      </c>
      <c r="B396" s="94" t="s">
        <v>283</v>
      </c>
      <c r="C396" s="94" t="s">
        <v>368</v>
      </c>
      <c r="D396" s="148" t="s">
        <v>844</v>
      </c>
      <c r="E396" s="149"/>
      <c r="F396" s="149"/>
      <c r="G396" s="150"/>
      <c r="H396" s="94" t="s">
        <v>1535</v>
      </c>
      <c r="I396" s="95">
        <v>71.03178</v>
      </c>
      <c r="J396" s="95">
        <v>0</v>
      </c>
      <c r="K396" s="95">
        <f>I396*AO396</f>
        <v>0</v>
      </c>
      <c r="L396" s="95">
        <f>I396*AP396</f>
        <v>0</v>
      </c>
      <c r="M396" s="95">
        <f>I396*J396</f>
        <v>0</v>
      </c>
      <c r="N396" s="93" t="s">
        <v>1556</v>
      </c>
      <c r="O396" s="67"/>
      <c r="Z396" s="28">
        <f>IF(AQ396="5",BJ396,0)</f>
        <v>0</v>
      </c>
      <c r="AB396" s="28">
        <f>IF(AQ396="1",BH396,0)</f>
        <v>0</v>
      </c>
      <c r="AC396" s="28">
        <f>IF(AQ396="1",BI396,0)</f>
        <v>0</v>
      </c>
      <c r="AD396" s="28">
        <f>IF(AQ396="7",BH396,0)</f>
        <v>0</v>
      </c>
      <c r="AE396" s="28">
        <f>IF(AQ396="7",BI396,0)</f>
        <v>0</v>
      </c>
      <c r="AF396" s="28">
        <f>IF(AQ396="2",BH396,0)</f>
        <v>0</v>
      </c>
      <c r="AG396" s="28">
        <f>IF(AQ396="2",BI396,0)</f>
        <v>0</v>
      </c>
      <c r="AH396" s="28">
        <f>IF(AQ396="0",BJ396,0)</f>
        <v>0</v>
      </c>
      <c r="AI396" s="27" t="s">
        <v>283</v>
      </c>
      <c r="AJ396" s="20">
        <f>IF(AN396=0,M396,0)</f>
        <v>0</v>
      </c>
      <c r="AK396" s="20">
        <f>IF(AN396=15,M396,0)</f>
        <v>0</v>
      </c>
      <c r="AL396" s="20">
        <f>IF(AN396=21,M396,0)</f>
        <v>0</v>
      </c>
      <c r="AN396" s="28">
        <v>15</v>
      </c>
      <c r="AO396" s="28">
        <f>J396*1</f>
        <v>0</v>
      </c>
      <c r="AP396" s="28">
        <f>J396*(1-1)</f>
        <v>0</v>
      </c>
      <c r="AQ396" s="30" t="s">
        <v>13</v>
      </c>
      <c r="AV396" s="28">
        <f>AW396+AX396</f>
        <v>0</v>
      </c>
      <c r="AW396" s="28">
        <f>I396*AO396</f>
        <v>0</v>
      </c>
      <c r="AX396" s="28">
        <f>I396*AP396</f>
        <v>0</v>
      </c>
      <c r="AY396" s="31" t="s">
        <v>1586</v>
      </c>
      <c r="AZ396" s="31" t="s">
        <v>1619</v>
      </c>
      <c r="BA396" s="27" t="s">
        <v>1628</v>
      </c>
      <c r="BC396" s="28">
        <f>AW396+AX396</f>
        <v>0</v>
      </c>
      <c r="BD396" s="28">
        <f>J396/(100-BE396)*100</f>
        <v>0</v>
      </c>
      <c r="BE396" s="28">
        <v>0</v>
      </c>
      <c r="BF396" s="28">
        <f>396</f>
        <v>396</v>
      </c>
      <c r="BH396" s="20">
        <f>I396*AO396</f>
        <v>0</v>
      </c>
      <c r="BI396" s="20">
        <f>I396*AP396</f>
        <v>0</v>
      </c>
      <c r="BJ396" s="20">
        <f>I396*J396</f>
        <v>0</v>
      </c>
      <c r="BK396" s="20" t="s">
        <v>1635</v>
      </c>
      <c r="BL396" s="28">
        <v>713</v>
      </c>
    </row>
    <row r="397" spans="1:15" ht="12.75">
      <c r="A397" s="89"/>
      <c r="B397" s="90"/>
      <c r="C397" s="90"/>
      <c r="D397" s="84" t="s">
        <v>851</v>
      </c>
      <c r="G397" s="91" t="s">
        <v>1408</v>
      </c>
      <c r="H397" s="90"/>
      <c r="I397" s="92">
        <v>45.864</v>
      </c>
      <c r="J397" s="90"/>
      <c r="K397" s="90"/>
      <c r="L397" s="90"/>
      <c r="M397" s="90"/>
      <c r="N397" s="79"/>
      <c r="O397" s="67"/>
    </row>
    <row r="398" spans="1:15" ht="12.75">
      <c r="A398" s="89"/>
      <c r="B398" s="90"/>
      <c r="C398" s="90"/>
      <c r="D398" s="84" t="s">
        <v>852</v>
      </c>
      <c r="G398" s="91" t="s">
        <v>1409</v>
      </c>
      <c r="H398" s="90"/>
      <c r="I398" s="92">
        <v>23.775</v>
      </c>
      <c r="J398" s="90"/>
      <c r="K398" s="90"/>
      <c r="L398" s="90"/>
      <c r="M398" s="90"/>
      <c r="N398" s="79"/>
      <c r="O398" s="67"/>
    </row>
    <row r="399" spans="1:15" ht="12.75">
      <c r="A399" s="82"/>
      <c r="B399" s="83"/>
      <c r="C399" s="83"/>
      <c r="D399" s="85" t="s">
        <v>859</v>
      </c>
      <c r="G399" s="86"/>
      <c r="H399" s="83"/>
      <c r="I399" s="88">
        <v>1.39278</v>
      </c>
      <c r="J399" s="83"/>
      <c r="K399" s="83"/>
      <c r="L399" s="83"/>
      <c r="M399" s="83"/>
      <c r="N399" s="80"/>
      <c r="O399" s="67"/>
    </row>
    <row r="400" spans="1:15" ht="25.5" customHeight="1">
      <c r="A400" s="3"/>
      <c r="C400" s="13" t="s">
        <v>302</v>
      </c>
      <c r="D400" s="145" t="s">
        <v>846</v>
      </c>
      <c r="E400" s="146"/>
      <c r="F400" s="146"/>
      <c r="G400" s="146"/>
      <c r="H400" s="146"/>
      <c r="I400" s="146"/>
      <c r="J400" s="146"/>
      <c r="K400" s="146"/>
      <c r="L400" s="146"/>
      <c r="M400" s="146"/>
      <c r="N400" s="147"/>
      <c r="O400" s="3"/>
    </row>
    <row r="401" spans="1:15" ht="12.75">
      <c r="A401" s="3"/>
      <c r="C401" s="12" t="s">
        <v>296</v>
      </c>
      <c r="D401" s="142" t="s">
        <v>622</v>
      </c>
      <c r="E401" s="143"/>
      <c r="F401" s="143"/>
      <c r="G401" s="143"/>
      <c r="H401" s="143"/>
      <c r="I401" s="143"/>
      <c r="J401" s="143"/>
      <c r="K401" s="143"/>
      <c r="L401" s="143"/>
      <c r="M401" s="143"/>
      <c r="N401" s="144"/>
      <c r="O401" s="3"/>
    </row>
    <row r="402" spans="1:64" ht="12.75">
      <c r="A402" s="74" t="s">
        <v>89</v>
      </c>
      <c r="B402" s="74" t="s">
        <v>283</v>
      </c>
      <c r="C402" s="74" t="s">
        <v>373</v>
      </c>
      <c r="D402" s="133" t="s">
        <v>857</v>
      </c>
      <c r="E402" s="134"/>
      <c r="F402" s="134"/>
      <c r="G402" s="135"/>
      <c r="H402" s="74" t="s">
        <v>1535</v>
      </c>
      <c r="I402" s="75">
        <v>232.13</v>
      </c>
      <c r="J402" s="75">
        <v>0</v>
      </c>
      <c r="K402" s="75">
        <f>I402*AO402</f>
        <v>0</v>
      </c>
      <c r="L402" s="75">
        <f>I402*AP402</f>
        <v>0</v>
      </c>
      <c r="M402" s="75">
        <f>I402*J402</f>
        <v>0</v>
      </c>
      <c r="N402" s="78" t="s">
        <v>1556</v>
      </c>
      <c r="O402" s="67"/>
      <c r="Z402" s="28">
        <f>IF(AQ402="5",BJ402,0)</f>
        <v>0</v>
      </c>
      <c r="AB402" s="28">
        <f>IF(AQ402="1",BH402,0)</f>
        <v>0</v>
      </c>
      <c r="AC402" s="28">
        <f>IF(AQ402="1",BI402,0)</f>
        <v>0</v>
      </c>
      <c r="AD402" s="28">
        <f>IF(AQ402="7",BH402,0)</f>
        <v>0</v>
      </c>
      <c r="AE402" s="28">
        <f>IF(AQ402="7",BI402,0)</f>
        <v>0</v>
      </c>
      <c r="AF402" s="28">
        <f>IF(AQ402="2",BH402,0)</f>
        <v>0</v>
      </c>
      <c r="AG402" s="28">
        <f>IF(AQ402="2",BI402,0)</f>
        <v>0</v>
      </c>
      <c r="AH402" s="28">
        <f>IF(AQ402="0",BJ402,0)</f>
        <v>0</v>
      </c>
      <c r="AI402" s="27" t="s">
        <v>283</v>
      </c>
      <c r="AJ402" s="18">
        <f>IF(AN402=0,M402,0)</f>
        <v>0</v>
      </c>
      <c r="AK402" s="18">
        <f>IF(AN402=15,M402,0)</f>
        <v>0</v>
      </c>
      <c r="AL402" s="18">
        <f>IF(AN402=21,M402,0)</f>
        <v>0</v>
      </c>
      <c r="AN402" s="28">
        <v>15</v>
      </c>
      <c r="AO402" s="28">
        <f>J402*0</f>
        <v>0</v>
      </c>
      <c r="AP402" s="28">
        <f>J402*(1-0)</f>
        <v>0</v>
      </c>
      <c r="AQ402" s="29" t="s">
        <v>13</v>
      </c>
      <c r="AV402" s="28">
        <f>AW402+AX402</f>
        <v>0</v>
      </c>
      <c r="AW402" s="28">
        <f>I402*AO402</f>
        <v>0</v>
      </c>
      <c r="AX402" s="28">
        <f>I402*AP402</f>
        <v>0</v>
      </c>
      <c r="AY402" s="31" t="s">
        <v>1586</v>
      </c>
      <c r="AZ402" s="31" t="s">
        <v>1619</v>
      </c>
      <c r="BA402" s="27" t="s">
        <v>1628</v>
      </c>
      <c r="BC402" s="28">
        <f>AW402+AX402</f>
        <v>0</v>
      </c>
      <c r="BD402" s="28">
        <f>J402/(100-BE402)*100</f>
        <v>0</v>
      </c>
      <c r="BE402" s="28">
        <v>0</v>
      </c>
      <c r="BF402" s="28">
        <f>402</f>
        <v>402</v>
      </c>
      <c r="BH402" s="18">
        <f>I402*AO402</f>
        <v>0</v>
      </c>
      <c r="BI402" s="18">
        <f>I402*AP402</f>
        <v>0</v>
      </c>
      <c r="BJ402" s="18">
        <f>I402*J402</f>
        <v>0</v>
      </c>
      <c r="BK402" s="18" t="s">
        <v>1634</v>
      </c>
      <c r="BL402" s="28">
        <v>713</v>
      </c>
    </row>
    <row r="403" spans="1:15" ht="12.75">
      <c r="A403" s="3"/>
      <c r="D403" s="136" t="s">
        <v>841</v>
      </c>
      <c r="E403" s="137"/>
      <c r="F403" s="137"/>
      <c r="G403" s="137"/>
      <c r="H403" s="137"/>
      <c r="I403" s="137"/>
      <c r="J403" s="137"/>
      <c r="K403" s="137"/>
      <c r="L403" s="137"/>
      <c r="M403" s="137"/>
      <c r="N403" s="138"/>
      <c r="O403" s="3"/>
    </row>
    <row r="404" spans="1:15" ht="12.75">
      <c r="A404" s="89"/>
      <c r="B404" s="90"/>
      <c r="C404" s="90"/>
      <c r="D404" s="84" t="s">
        <v>860</v>
      </c>
      <c r="G404" s="91" t="s">
        <v>1410</v>
      </c>
      <c r="H404" s="90"/>
      <c r="I404" s="92">
        <v>152.88</v>
      </c>
      <c r="J404" s="90"/>
      <c r="K404" s="90"/>
      <c r="L404" s="90"/>
      <c r="M404" s="90"/>
      <c r="N404" s="79"/>
      <c r="O404" s="67"/>
    </row>
    <row r="405" spans="1:15" ht="12.75">
      <c r="A405" s="82"/>
      <c r="B405" s="83"/>
      <c r="C405" s="83"/>
      <c r="D405" s="85" t="s">
        <v>861</v>
      </c>
      <c r="G405" s="86" t="s">
        <v>1409</v>
      </c>
      <c r="H405" s="83"/>
      <c r="I405" s="88">
        <v>79.25</v>
      </c>
      <c r="J405" s="83"/>
      <c r="K405" s="83"/>
      <c r="L405" s="83"/>
      <c r="M405" s="83"/>
      <c r="N405" s="80"/>
      <c r="O405" s="67"/>
    </row>
    <row r="406" spans="1:15" ht="12.75">
      <c r="A406" s="3"/>
      <c r="C406" s="13" t="s">
        <v>302</v>
      </c>
      <c r="D406" s="145" t="s">
        <v>858</v>
      </c>
      <c r="E406" s="146"/>
      <c r="F406" s="146"/>
      <c r="G406" s="146"/>
      <c r="H406" s="146"/>
      <c r="I406" s="146"/>
      <c r="J406" s="146"/>
      <c r="K406" s="146"/>
      <c r="L406" s="146"/>
      <c r="M406" s="146"/>
      <c r="N406" s="147"/>
      <c r="O406" s="3"/>
    </row>
    <row r="407" spans="1:15" ht="12.75">
      <c r="A407" s="3"/>
      <c r="C407" s="12" t="s">
        <v>296</v>
      </c>
      <c r="D407" s="142" t="s">
        <v>622</v>
      </c>
      <c r="E407" s="143"/>
      <c r="F407" s="143"/>
      <c r="G407" s="143"/>
      <c r="H407" s="143"/>
      <c r="I407" s="143"/>
      <c r="J407" s="143"/>
      <c r="K407" s="143"/>
      <c r="L407" s="143"/>
      <c r="M407" s="143"/>
      <c r="N407" s="144"/>
      <c r="O407" s="3"/>
    </row>
    <row r="408" spans="1:64" ht="12.75">
      <c r="A408" s="94" t="s">
        <v>90</v>
      </c>
      <c r="B408" s="94" t="s">
        <v>283</v>
      </c>
      <c r="C408" s="94" t="s">
        <v>374</v>
      </c>
      <c r="D408" s="148" t="s">
        <v>862</v>
      </c>
      <c r="E408" s="149"/>
      <c r="F408" s="149"/>
      <c r="G408" s="150"/>
      <c r="H408" s="94" t="s">
        <v>1535</v>
      </c>
      <c r="I408" s="95">
        <v>243.7365</v>
      </c>
      <c r="J408" s="95">
        <v>0</v>
      </c>
      <c r="K408" s="95">
        <f>I408*AO408</f>
        <v>0</v>
      </c>
      <c r="L408" s="95">
        <f>I408*AP408</f>
        <v>0</v>
      </c>
      <c r="M408" s="95">
        <f>I408*J408</f>
        <v>0</v>
      </c>
      <c r="N408" s="93" t="s">
        <v>1556</v>
      </c>
      <c r="O408" s="67"/>
      <c r="Z408" s="28">
        <f>IF(AQ408="5",BJ408,0)</f>
        <v>0</v>
      </c>
      <c r="AB408" s="28">
        <f>IF(AQ408="1",BH408,0)</f>
        <v>0</v>
      </c>
      <c r="AC408" s="28">
        <f>IF(AQ408="1",BI408,0)</f>
        <v>0</v>
      </c>
      <c r="AD408" s="28">
        <f>IF(AQ408="7",BH408,0)</f>
        <v>0</v>
      </c>
      <c r="AE408" s="28">
        <f>IF(AQ408="7",BI408,0)</f>
        <v>0</v>
      </c>
      <c r="AF408" s="28">
        <f>IF(AQ408="2",BH408,0)</f>
        <v>0</v>
      </c>
      <c r="AG408" s="28">
        <f>IF(AQ408="2",BI408,0)</f>
        <v>0</v>
      </c>
      <c r="AH408" s="28">
        <f>IF(AQ408="0",BJ408,0)</f>
        <v>0</v>
      </c>
      <c r="AI408" s="27" t="s">
        <v>283</v>
      </c>
      <c r="AJ408" s="20">
        <f>IF(AN408=0,M408,0)</f>
        <v>0</v>
      </c>
      <c r="AK408" s="20">
        <f>IF(AN408=15,M408,0)</f>
        <v>0</v>
      </c>
      <c r="AL408" s="20">
        <f>IF(AN408=21,M408,0)</f>
        <v>0</v>
      </c>
      <c r="AN408" s="28">
        <v>15</v>
      </c>
      <c r="AO408" s="28">
        <f>J408*1</f>
        <v>0</v>
      </c>
      <c r="AP408" s="28">
        <f>J408*(1-1)</f>
        <v>0</v>
      </c>
      <c r="AQ408" s="30" t="s">
        <v>13</v>
      </c>
      <c r="AV408" s="28">
        <f>AW408+AX408</f>
        <v>0</v>
      </c>
      <c r="AW408" s="28">
        <f>I408*AO408</f>
        <v>0</v>
      </c>
      <c r="AX408" s="28">
        <f>I408*AP408</f>
        <v>0</v>
      </c>
      <c r="AY408" s="31" t="s">
        <v>1586</v>
      </c>
      <c r="AZ408" s="31" t="s">
        <v>1619</v>
      </c>
      <c r="BA408" s="27" t="s">
        <v>1628</v>
      </c>
      <c r="BC408" s="28">
        <f>AW408+AX408</f>
        <v>0</v>
      </c>
      <c r="BD408" s="28">
        <f>J408/(100-BE408)*100</f>
        <v>0</v>
      </c>
      <c r="BE408" s="28">
        <v>0</v>
      </c>
      <c r="BF408" s="28">
        <f>408</f>
        <v>408</v>
      </c>
      <c r="BH408" s="20">
        <f>I408*AO408</f>
        <v>0</v>
      </c>
      <c r="BI408" s="20">
        <f>I408*AP408</f>
        <v>0</v>
      </c>
      <c r="BJ408" s="20">
        <f>I408*J408</f>
        <v>0</v>
      </c>
      <c r="BK408" s="20" t="s">
        <v>1635</v>
      </c>
      <c r="BL408" s="28">
        <v>713</v>
      </c>
    </row>
    <row r="409" spans="1:15" ht="12.75">
      <c r="A409" s="89"/>
      <c r="B409" s="90"/>
      <c r="C409" s="90"/>
      <c r="D409" s="84" t="s">
        <v>860</v>
      </c>
      <c r="G409" s="91" t="s">
        <v>1408</v>
      </c>
      <c r="H409" s="90"/>
      <c r="I409" s="92">
        <v>152.88</v>
      </c>
      <c r="J409" s="90"/>
      <c r="K409" s="90"/>
      <c r="L409" s="90"/>
      <c r="M409" s="90"/>
      <c r="N409" s="79"/>
      <c r="O409" s="67"/>
    </row>
    <row r="410" spans="1:15" ht="12.75">
      <c r="A410" s="89"/>
      <c r="B410" s="90"/>
      <c r="C410" s="90"/>
      <c r="D410" s="84" t="s">
        <v>861</v>
      </c>
      <c r="G410" s="91" t="s">
        <v>1409</v>
      </c>
      <c r="H410" s="90"/>
      <c r="I410" s="92">
        <v>79.25</v>
      </c>
      <c r="J410" s="90"/>
      <c r="K410" s="90"/>
      <c r="L410" s="90"/>
      <c r="M410" s="90"/>
      <c r="N410" s="79"/>
      <c r="O410" s="67"/>
    </row>
    <row r="411" spans="1:15" ht="12.75">
      <c r="A411" s="82"/>
      <c r="B411" s="83"/>
      <c r="C411" s="83"/>
      <c r="D411" s="85" t="s">
        <v>863</v>
      </c>
      <c r="G411" s="86"/>
      <c r="H411" s="83"/>
      <c r="I411" s="88">
        <v>11.6065</v>
      </c>
      <c r="J411" s="83"/>
      <c r="K411" s="83"/>
      <c r="L411" s="83"/>
      <c r="M411" s="83"/>
      <c r="N411" s="80"/>
      <c r="O411" s="67"/>
    </row>
    <row r="412" spans="1:15" ht="25.5" customHeight="1">
      <c r="A412" s="3"/>
      <c r="C412" s="13" t="s">
        <v>302</v>
      </c>
      <c r="D412" s="145" t="s">
        <v>864</v>
      </c>
      <c r="E412" s="146"/>
      <c r="F412" s="146"/>
      <c r="G412" s="146"/>
      <c r="H412" s="146"/>
      <c r="I412" s="146"/>
      <c r="J412" s="146"/>
      <c r="K412" s="146"/>
      <c r="L412" s="146"/>
      <c r="M412" s="146"/>
      <c r="N412" s="147"/>
      <c r="O412" s="3"/>
    </row>
    <row r="413" spans="1:15" ht="12.75">
      <c r="A413" s="3"/>
      <c r="C413" s="12" t="s">
        <v>296</v>
      </c>
      <c r="D413" s="142" t="s">
        <v>622</v>
      </c>
      <c r="E413" s="143"/>
      <c r="F413" s="143"/>
      <c r="G413" s="143"/>
      <c r="H413" s="143"/>
      <c r="I413" s="143"/>
      <c r="J413" s="143"/>
      <c r="K413" s="143"/>
      <c r="L413" s="143"/>
      <c r="M413" s="143"/>
      <c r="N413" s="144"/>
      <c r="O413" s="3"/>
    </row>
    <row r="414" spans="1:64" ht="12.75">
      <c r="A414" s="81" t="s">
        <v>91</v>
      </c>
      <c r="B414" s="81" t="s">
        <v>283</v>
      </c>
      <c r="C414" s="81" t="s">
        <v>375</v>
      </c>
      <c r="D414" s="139" t="s">
        <v>865</v>
      </c>
      <c r="E414" s="134"/>
      <c r="F414" s="134"/>
      <c r="G414" s="140"/>
      <c r="H414" s="81" t="s">
        <v>1540</v>
      </c>
      <c r="I414" s="87">
        <v>1895.91</v>
      </c>
      <c r="J414" s="87">
        <v>0</v>
      </c>
      <c r="K414" s="87">
        <f>I414*AO414</f>
        <v>0</v>
      </c>
      <c r="L414" s="87">
        <f>I414*AP414</f>
        <v>0</v>
      </c>
      <c r="M414" s="87">
        <f>I414*J414</f>
        <v>0</v>
      </c>
      <c r="N414" s="77" t="s">
        <v>1554</v>
      </c>
      <c r="O414" s="67"/>
      <c r="Z414" s="28">
        <f>IF(AQ414="5",BJ414,0)</f>
        <v>0</v>
      </c>
      <c r="AB414" s="28">
        <f>IF(AQ414="1",BH414,0)</f>
        <v>0</v>
      </c>
      <c r="AC414" s="28">
        <f>IF(AQ414="1",BI414,0)</f>
        <v>0</v>
      </c>
      <c r="AD414" s="28">
        <f>IF(AQ414="7",BH414,0)</f>
        <v>0</v>
      </c>
      <c r="AE414" s="28">
        <f>IF(AQ414="7",BI414,0)</f>
        <v>0</v>
      </c>
      <c r="AF414" s="28">
        <f>IF(AQ414="2",BH414,0)</f>
        <v>0</v>
      </c>
      <c r="AG414" s="28">
        <f>IF(AQ414="2",BI414,0)</f>
        <v>0</v>
      </c>
      <c r="AH414" s="28">
        <f>IF(AQ414="0",BJ414,0)</f>
        <v>0</v>
      </c>
      <c r="AI414" s="27" t="s">
        <v>283</v>
      </c>
      <c r="AJ414" s="18">
        <f>IF(AN414=0,M414,0)</f>
        <v>0</v>
      </c>
      <c r="AK414" s="18">
        <f>IF(AN414=15,M414,0)</f>
        <v>0</v>
      </c>
      <c r="AL414" s="18">
        <f>IF(AN414=21,M414,0)</f>
        <v>0</v>
      </c>
      <c r="AN414" s="28">
        <v>15</v>
      </c>
      <c r="AO414" s="28">
        <f>J414*0</f>
        <v>0</v>
      </c>
      <c r="AP414" s="28">
        <f>J414*(1-0)</f>
        <v>0</v>
      </c>
      <c r="AQ414" s="29" t="s">
        <v>11</v>
      </c>
      <c r="AV414" s="28">
        <f>AW414+AX414</f>
        <v>0</v>
      </c>
      <c r="AW414" s="28">
        <f>I414*AO414</f>
        <v>0</v>
      </c>
      <c r="AX414" s="28">
        <f>I414*AP414</f>
        <v>0</v>
      </c>
      <c r="AY414" s="31" t="s">
        <v>1586</v>
      </c>
      <c r="AZ414" s="31" t="s">
        <v>1619</v>
      </c>
      <c r="BA414" s="27" t="s">
        <v>1628</v>
      </c>
      <c r="BC414" s="28">
        <f>AW414+AX414</f>
        <v>0</v>
      </c>
      <c r="BD414" s="28">
        <f>J414/(100-BE414)*100</f>
        <v>0</v>
      </c>
      <c r="BE414" s="28">
        <v>0</v>
      </c>
      <c r="BF414" s="28">
        <f>414</f>
        <v>414</v>
      </c>
      <c r="BH414" s="18">
        <f>I414*AO414</f>
        <v>0</v>
      </c>
      <c r="BI414" s="18">
        <f>I414*AP414</f>
        <v>0</v>
      </c>
      <c r="BJ414" s="18">
        <f>I414*J414</f>
        <v>0</v>
      </c>
      <c r="BK414" s="18" t="s">
        <v>1634</v>
      </c>
      <c r="BL414" s="28">
        <v>713</v>
      </c>
    </row>
    <row r="415" spans="1:15" ht="12.75">
      <c r="A415" s="82"/>
      <c r="B415" s="83"/>
      <c r="C415" s="83"/>
      <c r="D415" s="85" t="s">
        <v>866</v>
      </c>
      <c r="G415" s="86"/>
      <c r="H415" s="83"/>
      <c r="I415" s="88">
        <v>1895.91</v>
      </c>
      <c r="J415" s="83"/>
      <c r="K415" s="83"/>
      <c r="L415" s="83"/>
      <c r="M415" s="83"/>
      <c r="N415" s="80"/>
      <c r="O415" s="67"/>
    </row>
    <row r="416" spans="1:15" ht="12.75">
      <c r="A416" s="3"/>
      <c r="C416" s="12" t="s">
        <v>296</v>
      </c>
      <c r="D416" s="142" t="s">
        <v>622</v>
      </c>
      <c r="E416" s="143"/>
      <c r="F416" s="143"/>
      <c r="G416" s="143"/>
      <c r="H416" s="143"/>
      <c r="I416" s="143"/>
      <c r="J416" s="143"/>
      <c r="K416" s="143"/>
      <c r="L416" s="143"/>
      <c r="M416" s="143"/>
      <c r="N416" s="144"/>
      <c r="O416" s="3"/>
    </row>
    <row r="417" spans="1:47" ht="12.75">
      <c r="A417" s="72"/>
      <c r="B417" s="73" t="s">
        <v>283</v>
      </c>
      <c r="C417" s="73" t="s">
        <v>376</v>
      </c>
      <c r="D417" s="130" t="s">
        <v>867</v>
      </c>
      <c r="E417" s="131"/>
      <c r="F417" s="131"/>
      <c r="G417" s="132"/>
      <c r="H417" s="72" t="s">
        <v>6</v>
      </c>
      <c r="I417" s="72" t="s">
        <v>6</v>
      </c>
      <c r="J417" s="72" t="s">
        <v>6</v>
      </c>
      <c r="K417" s="76">
        <f>SUM(K418:K426)</f>
        <v>0</v>
      </c>
      <c r="L417" s="76">
        <f>SUM(L418:L426)</f>
        <v>0</v>
      </c>
      <c r="M417" s="76">
        <f>SUM(M418:M426)</f>
        <v>0</v>
      </c>
      <c r="N417" s="71"/>
      <c r="O417" s="67"/>
      <c r="AI417" s="27" t="s">
        <v>283</v>
      </c>
      <c r="AS417" s="33">
        <f>SUM(AJ418:AJ426)</f>
        <v>0</v>
      </c>
      <c r="AT417" s="33">
        <f>SUM(AK418:AK426)</f>
        <v>0</v>
      </c>
      <c r="AU417" s="33">
        <f>SUM(AL418:AL426)</f>
        <v>0</v>
      </c>
    </row>
    <row r="418" spans="1:64" ht="12.75">
      <c r="A418" s="81" t="s">
        <v>92</v>
      </c>
      <c r="B418" s="81" t="s">
        <v>283</v>
      </c>
      <c r="C418" s="81" t="s">
        <v>377</v>
      </c>
      <c r="D418" s="139" t="s">
        <v>868</v>
      </c>
      <c r="E418" s="134"/>
      <c r="F418" s="134"/>
      <c r="G418" s="140"/>
      <c r="H418" s="81" t="s">
        <v>1538</v>
      </c>
      <c r="I418" s="87">
        <v>7</v>
      </c>
      <c r="J418" s="87">
        <v>0</v>
      </c>
      <c r="K418" s="87">
        <f>I418*AO418</f>
        <v>0</v>
      </c>
      <c r="L418" s="87">
        <f>I418*AP418</f>
        <v>0</v>
      </c>
      <c r="M418" s="87">
        <f>I418*J418</f>
        <v>0</v>
      </c>
      <c r="N418" s="77" t="s">
        <v>1556</v>
      </c>
      <c r="O418" s="67"/>
      <c r="Z418" s="28">
        <f>IF(AQ418="5",BJ418,0)</f>
        <v>0</v>
      </c>
      <c r="AB418" s="28">
        <f>IF(AQ418="1",BH418,0)</f>
        <v>0</v>
      </c>
      <c r="AC418" s="28">
        <f>IF(AQ418="1",BI418,0)</f>
        <v>0</v>
      </c>
      <c r="AD418" s="28">
        <f>IF(AQ418="7",BH418,0)</f>
        <v>0</v>
      </c>
      <c r="AE418" s="28">
        <f>IF(AQ418="7",BI418,0)</f>
        <v>0</v>
      </c>
      <c r="AF418" s="28">
        <f>IF(AQ418="2",BH418,0)</f>
        <v>0</v>
      </c>
      <c r="AG418" s="28">
        <f>IF(AQ418="2",BI418,0)</f>
        <v>0</v>
      </c>
      <c r="AH418" s="28">
        <f>IF(AQ418="0",BJ418,0)</f>
        <v>0</v>
      </c>
      <c r="AI418" s="27" t="s">
        <v>283</v>
      </c>
      <c r="AJ418" s="18">
        <f>IF(AN418=0,M418,0)</f>
        <v>0</v>
      </c>
      <c r="AK418" s="18">
        <f>IF(AN418=15,M418,0)</f>
        <v>0</v>
      </c>
      <c r="AL418" s="18">
        <f>IF(AN418=21,M418,0)</f>
        <v>0</v>
      </c>
      <c r="AN418" s="28">
        <v>15</v>
      </c>
      <c r="AO418" s="28">
        <f>J418*0</f>
        <v>0</v>
      </c>
      <c r="AP418" s="28">
        <f>J418*(1-0)</f>
        <v>0</v>
      </c>
      <c r="AQ418" s="29" t="s">
        <v>13</v>
      </c>
      <c r="AV418" s="28">
        <f>AW418+AX418</f>
        <v>0</v>
      </c>
      <c r="AW418" s="28">
        <f>I418*AO418</f>
        <v>0</v>
      </c>
      <c r="AX418" s="28">
        <f>I418*AP418</f>
        <v>0</v>
      </c>
      <c r="AY418" s="31" t="s">
        <v>1587</v>
      </c>
      <c r="AZ418" s="31" t="s">
        <v>1620</v>
      </c>
      <c r="BA418" s="27" t="s">
        <v>1628</v>
      </c>
      <c r="BC418" s="28">
        <f>AW418+AX418</f>
        <v>0</v>
      </c>
      <c r="BD418" s="28">
        <f>J418/(100-BE418)*100</f>
        <v>0</v>
      </c>
      <c r="BE418" s="28">
        <v>0</v>
      </c>
      <c r="BF418" s="28">
        <f>418</f>
        <v>418</v>
      </c>
      <c r="BH418" s="18">
        <f>I418*AO418</f>
        <v>0</v>
      </c>
      <c r="BI418" s="18">
        <f>I418*AP418</f>
        <v>0</v>
      </c>
      <c r="BJ418" s="18">
        <f>I418*J418</f>
        <v>0</v>
      </c>
      <c r="BK418" s="18" t="s">
        <v>1634</v>
      </c>
      <c r="BL418" s="28">
        <v>721</v>
      </c>
    </row>
    <row r="419" spans="1:15" ht="12.75">
      <c r="A419" s="82"/>
      <c r="B419" s="83"/>
      <c r="C419" s="83"/>
      <c r="D419" s="85" t="s">
        <v>13</v>
      </c>
      <c r="G419" s="86" t="s">
        <v>1411</v>
      </c>
      <c r="H419" s="83"/>
      <c r="I419" s="88">
        <v>7</v>
      </c>
      <c r="J419" s="83"/>
      <c r="K419" s="83"/>
      <c r="L419" s="83"/>
      <c r="M419" s="83"/>
      <c r="N419" s="80"/>
      <c r="O419" s="67"/>
    </row>
    <row r="420" spans="1:15" ht="12.75">
      <c r="A420" s="3"/>
      <c r="C420" s="12" t="s">
        <v>296</v>
      </c>
      <c r="D420" s="142" t="s">
        <v>869</v>
      </c>
      <c r="E420" s="143"/>
      <c r="F420" s="143"/>
      <c r="G420" s="143"/>
      <c r="H420" s="143"/>
      <c r="I420" s="143"/>
      <c r="J420" s="143"/>
      <c r="K420" s="143"/>
      <c r="L420" s="143"/>
      <c r="M420" s="143"/>
      <c r="N420" s="144"/>
      <c r="O420" s="3"/>
    </row>
    <row r="421" spans="1:64" ht="12.75">
      <c r="A421" s="74" t="s">
        <v>93</v>
      </c>
      <c r="B421" s="74" t="s">
        <v>283</v>
      </c>
      <c r="C421" s="74" t="s">
        <v>378</v>
      </c>
      <c r="D421" s="133" t="s">
        <v>870</v>
      </c>
      <c r="E421" s="134"/>
      <c r="F421" s="134"/>
      <c r="G421" s="135"/>
      <c r="H421" s="74" t="s">
        <v>1538</v>
      </c>
      <c r="I421" s="75">
        <v>7</v>
      </c>
      <c r="J421" s="75">
        <v>0</v>
      </c>
      <c r="K421" s="75">
        <f>I421*AO421</f>
        <v>0</v>
      </c>
      <c r="L421" s="75">
        <f>I421*AP421</f>
        <v>0</v>
      </c>
      <c r="M421" s="75">
        <f>I421*J421</f>
        <v>0</v>
      </c>
      <c r="N421" s="78" t="s">
        <v>1556</v>
      </c>
      <c r="O421" s="67"/>
      <c r="Z421" s="28">
        <f>IF(AQ421="5",BJ421,0)</f>
        <v>0</v>
      </c>
      <c r="AB421" s="28">
        <f>IF(AQ421="1",BH421,0)</f>
        <v>0</v>
      </c>
      <c r="AC421" s="28">
        <f>IF(AQ421="1",BI421,0)</f>
        <v>0</v>
      </c>
      <c r="AD421" s="28">
        <f>IF(AQ421="7",BH421,0)</f>
        <v>0</v>
      </c>
      <c r="AE421" s="28">
        <f>IF(AQ421="7",BI421,0)</f>
        <v>0</v>
      </c>
      <c r="AF421" s="28">
        <f>IF(AQ421="2",BH421,0)</f>
        <v>0</v>
      </c>
      <c r="AG421" s="28">
        <f>IF(AQ421="2",BI421,0)</f>
        <v>0</v>
      </c>
      <c r="AH421" s="28">
        <f>IF(AQ421="0",BJ421,0)</f>
        <v>0</v>
      </c>
      <c r="AI421" s="27" t="s">
        <v>283</v>
      </c>
      <c r="AJ421" s="18">
        <f>IF(AN421=0,M421,0)</f>
        <v>0</v>
      </c>
      <c r="AK421" s="18">
        <f>IF(AN421=15,M421,0)</f>
        <v>0</v>
      </c>
      <c r="AL421" s="18">
        <f>IF(AN421=21,M421,0)</f>
        <v>0</v>
      </c>
      <c r="AN421" s="28">
        <v>15</v>
      </c>
      <c r="AO421" s="28">
        <f>J421*0.935194711538461</f>
        <v>0</v>
      </c>
      <c r="AP421" s="28">
        <f>J421*(1-0.935194711538461)</f>
        <v>0</v>
      </c>
      <c r="AQ421" s="29" t="s">
        <v>13</v>
      </c>
      <c r="AV421" s="28">
        <f>AW421+AX421</f>
        <v>0</v>
      </c>
      <c r="AW421" s="28">
        <f>I421*AO421</f>
        <v>0</v>
      </c>
      <c r="AX421" s="28">
        <f>I421*AP421</f>
        <v>0</v>
      </c>
      <c r="AY421" s="31" t="s">
        <v>1587</v>
      </c>
      <c r="AZ421" s="31" t="s">
        <v>1620</v>
      </c>
      <c r="BA421" s="27" t="s">
        <v>1628</v>
      </c>
      <c r="BC421" s="28">
        <f>AW421+AX421</f>
        <v>0</v>
      </c>
      <c r="BD421" s="28">
        <f>J421/(100-BE421)*100</f>
        <v>0</v>
      </c>
      <c r="BE421" s="28">
        <v>0</v>
      </c>
      <c r="BF421" s="28">
        <f>421</f>
        <v>421</v>
      </c>
      <c r="BH421" s="18">
        <f>I421*AO421</f>
        <v>0</v>
      </c>
      <c r="BI421" s="18">
        <f>I421*AP421</f>
        <v>0</v>
      </c>
      <c r="BJ421" s="18">
        <f>I421*J421</f>
        <v>0</v>
      </c>
      <c r="BK421" s="18" t="s">
        <v>1634</v>
      </c>
      <c r="BL421" s="28">
        <v>721</v>
      </c>
    </row>
    <row r="422" spans="1:15" ht="25.5" customHeight="1">
      <c r="A422" s="3"/>
      <c r="D422" s="136" t="s">
        <v>871</v>
      </c>
      <c r="E422" s="137"/>
      <c r="F422" s="137"/>
      <c r="G422" s="137"/>
      <c r="H422" s="137"/>
      <c r="I422" s="137"/>
      <c r="J422" s="137"/>
      <c r="K422" s="137"/>
      <c r="L422" s="137"/>
      <c r="M422" s="137"/>
      <c r="N422" s="138"/>
      <c r="O422" s="3"/>
    </row>
    <row r="423" spans="1:15" ht="12.75">
      <c r="A423" s="82"/>
      <c r="B423" s="83"/>
      <c r="C423" s="83"/>
      <c r="D423" s="85" t="s">
        <v>13</v>
      </c>
      <c r="G423" s="86" t="s">
        <v>1411</v>
      </c>
      <c r="H423" s="83"/>
      <c r="I423" s="88">
        <v>7</v>
      </c>
      <c r="J423" s="83"/>
      <c r="K423" s="83"/>
      <c r="L423" s="83"/>
      <c r="M423" s="83"/>
      <c r="N423" s="80"/>
      <c r="O423" s="67"/>
    </row>
    <row r="424" spans="1:15" ht="12.75">
      <c r="A424" s="3"/>
      <c r="C424" s="13" t="s">
        <v>302</v>
      </c>
      <c r="D424" s="145" t="s">
        <v>872</v>
      </c>
      <c r="E424" s="146"/>
      <c r="F424" s="146"/>
      <c r="G424" s="146"/>
      <c r="H424" s="146"/>
      <c r="I424" s="146"/>
      <c r="J424" s="146"/>
      <c r="K424" s="146"/>
      <c r="L424" s="146"/>
      <c r="M424" s="146"/>
      <c r="N424" s="147"/>
      <c r="O424" s="3"/>
    </row>
    <row r="425" spans="1:15" ht="12.75">
      <c r="A425" s="3"/>
      <c r="C425" s="12" t="s">
        <v>296</v>
      </c>
      <c r="D425" s="142" t="s">
        <v>869</v>
      </c>
      <c r="E425" s="143"/>
      <c r="F425" s="143"/>
      <c r="G425" s="143"/>
      <c r="H425" s="143"/>
      <c r="I425" s="143"/>
      <c r="J425" s="143"/>
      <c r="K425" s="143"/>
      <c r="L425" s="143"/>
      <c r="M425" s="143"/>
      <c r="N425" s="144"/>
      <c r="O425" s="3"/>
    </row>
    <row r="426" spans="1:64" ht="12.75">
      <c r="A426" s="81" t="s">
        <v>94</v>
      </c>
      <c r="B426" s="81" t="s">
        <v>283</v>
      </c>
      <c r="C426" s="81" t="s">
        <v>379</v>
      </c>
      <c r="D426" s="139" t="s">
        <v>873</v>
      </c>
      <c r="E426" s="134"/>
      <c r="F426" s="134"/>
      <c r="G426" s="140"/>
      <c r="H426" s="81" t="s">
        <v>1540</v>
      </c>
      <c r="I426" s="87">
        <v>304.5</v>
      </c>
      <c r="J426" s="87">
        <v>0</v>
      </c>
      <c r="K426" s="87">
        <f>I426*AO426</f>
        <v>0</v>
      </c>
      <c r="L426" s="87">
        <f>I426*AP426</f>
        <v>0</v>
      </c>
      <c r="M426" s="87">
        <f>I426*J426</f>
        <v>0</v>
      </c>
      <c r="N426" s="77" t="s">
        <v>1556</v>
      </c>
      <c r="O426" s="67"/>
      <c r="Z426" s="28">
        <f>IF(AQ426="5",BJ426,0)</f>
        <v>0</v>
      </c>
      <c r="AB426" s="28">
        <f>IF(AQ426="1",BH426,0)</f>
        <v>0</v>
      </c>
      <c r="AC426" s="28">
        <f>IF(AQ426="1",BI426,0)</f>
        <v>0</v>
      </c>
      <c r="AD426" s="28">
        <f>IF(AQ426="7",BH426,0)</f>
        <v>0</v>
      </c>
      <c r="AE426" s="28">
        <f>IF(AQ426="7",BI426,0)</f>
        <v>0</v>
      </c>
      <c r="AF426" s="28">
        <f>IF(AQ426="2",BH426,0)</f>
        <v>0</v>
      </c>
      <c r="AG426" s="28">
        <f>IF(AQ426="2",BI426,0)</f>
        <v>0</v>
      </c>
      <c r="AH426" s="28">
        <f>IF(AQ426="0",BJ426,0)</f>
        <v>0</v>
      </c>
      <c r="AI426" s="27" t="s">
        <v>283</v>
      </c>
      <c r="AJ426" s="18">
        <f>IF(AN426=0,M426,0)</f>
        <v>0</v>
      </c>
      <c r="AK426" s="18">
        <f>IF(AN426=15,M426,0)</f>
        <v>0</v>
      </c>
      <c r="AL426" s="18">
        <f>IF(AN426=21,M426,0)</f>
        <v>0</v>
      </c>
      <c r="AN426" s="28">
        <v>15</v>
      </c>
      <c r="AO426" s="28">
        <f>J426*0</f>
        <v>0</v>
      </c>
      <c r="AP426" s="28">
        <f>J426*(1-0)</f>
        <v>0</v>
      </c>
      <c r="AQ426" s="29" t="s">
        <v>11</v>
      </c>
      <c r="AV426" s="28">
        <f>AW426+AX426</f>
        <v>0</v>
      </c>
      <c r="AW426" s="28">
        <f>I426*AO426</f>
        <v>0</v>
      </c>
      <c r="AX426" s="28">
        <f>I426*AP426</f>
        <v>0</v>
      </c>
      <c r="AY426" s="31" t="s">
        <v>1587</v>
      </c>
      <c r="AZ426" s="31" t="s">
        <v>1620</v>
      </c>
      <c r="BA426" s="27" t="s">
        <v>1628</v>
      </c>
      <c r="BC426" s="28">
        <f>AW426+AX426</f>
        <v>0</v>
      </c>
      <c r="BD426" s="28">
        <f>J426/(100-BE426)*100</f>
        <v>0</v>
      </c>
      <c r="BE426" s="28">
        <v>0</v>
      </c>
      <c r="BF426" s="28">
        <f>426</f>
        <v>426</v>
      </c>
      <c r="BH426" s="18">
        <f>I426*AO426</f>
        <v>0</v>
      </c>
      <c r="BI426" s="18">
        <f>I426*AP426</f>
        <v>0</v>
      </c>
      <c r="BJ426" s="18">
        <f>I426*J426</f>
        <v>0</v>
      </c>
      <c r="BK426" s="18" t="s">
        <v>1634</v>
      </c>
      <c r="BL426" s="28">
        <v>721</v>
      </c>
    </row>
    <row r="427" spans="1:15" ht="12.75">
      <c r="A427" s="89"/>
      <c r="B427" s="90"/>
      <c r="C427" s="90"/>
      <c r="D427" s="84" t="s">
        <v>874</v>
      </c>
      <c r="G427" s="91"/>
      <c r="H427" s="90"/>
      <c r="I427" s="92">
        <v>304.5</v>
      </c>
      <c r="J427" s="90"/>
      <c r="K427" s="90"/>
      <c r="L427" s="90"/>
      <c r="M427" s="90"/>
      <c r="N427" s="79"/>
      <c r="O427" s="67"/>
    </row>
    <row r="428" spans="1:47" ht="12.75">
      <c r="A428" s="72"/>
      <c r="B428" s="73" t="s">
        <v>283</v>
      </c>
      <c r="C428" s="73" t="s">
        <v>380</v>
      </c>
      <c r="D428" s="130" t="s">
        <v>875</v>
      </c>
      <c r="E428" s="131"/>
      <c r="F428" s="131"/>
      <c r="G428" s="132"/>
      <c r="H428" s="72" t="s">
        <v>6</v>
      </c>
      <c r="I428" s="72" t="s">
        <v>6</v>
      </c>
      <c r="J428" s="72" t="s">
        <v>6</v>
      </c>
      <c r="K428" s="76">
        <f>SUM(K429:K432)</f>
        <v>0</v>
      </c>
      <c r="L428" s="76">
        <f>SUM(L429:L432)</f>
        <v>0</v>
      </c>
      <c r="M428" s="76">
        <f>SUM(M429:M432)</f>
        <v>0</v>
      </c>
      <c r="N428" s="71"/>
      <c r="O428" s="67"/>
      <c r="AI428" s="27" t="s">
        <v>283</v>
      </c>
      <c r="AS428" s="33">
        <f>SUM(AJ429:AJ432)</f>
        <v>0</v>
      </c>
      <c r="AT428" s="33">
        <f>SUM(AK429:AK432)</f>
        <v>0</v>
      </c>
      <c r="AU428" s="33">
        <f>SUM(AL429:AL432)</f>
        <v>0</v>
      </c>
    </row>
    <row r="429" spans="1:64" ht="12.75">
      <c r="A429" s="81" t="s">
        <v>95</v>
      </c>
      <c r="B429" s="81" t="s">
        <v>283</v>
      </c>
      <c r="C429" s="81" t="s">
        <v>381</v>
      </c>
      <c r="D429" s="139" t="s">
        <v>876</v>
      </c>
      <c r="E429" s="134"/>
      <c r="F429" s="134"/>
      <c r="G429" s="140"/>
      <c r="H429" s="81" t="s">
        <v>1538</v>
      </c>
      <c r="I429" s="87">
        <v>2</v>
      </c>
      <c r="J429" s="87">
        <v>0</v>
      </c>
      <c r="K429" s="87">
        <f>I429*AO429</f>
        <v>0</v>
      </c>
      <c r="L429" s="87">
        <f>I429*AP429</f>
        <v>0</v>
      </c>
      <c r="M429" s="87">
        <f>I429*J429</f>
        <v>0</v>
      </c>
      <c r="N429" s="77" t="s">
        <v>1556</v>
      </c>
      <c r="O429" s="67"/>
      <c r="Z429" s="28">
        <f>IF(AQ429="5",BJ429,0)</f>
        <v>0</v>
      </c>
      <c r="AB429" s="28">
        <f>IF(AQ429="1",BH429,0)</f>
        <v>0</v>
      </c>
      <c r="AC429" s="28">
        <f>IF(AQ429="1",BI429,0)</f>
        <v>0</v>
      </c>
      <c r="AD429" s="28">
        <f>IF(AQ429="7",BH429,0)</f>
        <v>0</v>
      </c>
      <c r="AE429" s="28">
        <f>IF(AQ429="7",BI429,0)</f>
        <v>0</v>
      </c>
      <c r="AF429" s="28">
        <f>IF(AQ429="2",BH429,0)</f>
        <v>0</v>
      </c>
      <c r="AG429" s="28">
        <f>IF(AQ429="2",BI429,0)</f>
        <v>0</v>
      </c>
      <c r="AH429" s="28">
        <f>IF(AQ429="0",BJ429,0)</f>
        <v>0</v>
      </c>
      <c r="AI429" s="27" t="s">
        <v>283</v>
      </c>
      <c r="AJ429" s="18">
        <f>IF(AN429=0,M429,0)</f>
        <v>0</v>
      </c>
      <c r="AK429" s="18">
        <f>IF(AN429=15,M429,0)</f>
        <v>0</v>
      </c>
      <c r="AL429" s="18">
        <f>IF(AN429=21,M429,0)</f>
        <v>0</v>
      </c>
      <c r="AN429" s="28">
        <v>15</v>
      </c>
      <c r="AO429" s="28">
        <f>J429*0</f>
        <v>0</v>
      </c>
      <c r="AP429" s="28">
        <f>J429*(1-0)</f>
        <v>0</v>
      </c>
      <c r="AQ429" s="29" t="s">
        <v>13</v>
      </c>
      <c r="AV429" s="28">
        <f>AW429+AX429</f>
        <v>0</v>
      </c>
      <c r="AW429" s="28">
        <f>I429*AO429</f>
        <v>0</v>
      </c>
      <c r="AX429" s="28">
        <f>I429*AP429</f>
        <v>0</v>
      </c>
      <c r="AY429" s="31" t="s">
        <v>1588</v>
      </c>
      <c r="AZ429" s="31" t="s">
        <v>1620</v>
      </c>
      <c r="BA429" s="27" t="s">
        <v>1628</v>
      </c>
      <c r="BC429" s="28">
        <f>AW429+AX429</f>
        <v>0</v>
      </c>
      <c r="BD429" s="28">
        <f>J429/(100-BE429)*100</f>
        <v>0</v>
      </c>
      <c r="BE429" s="28">
        <v>0</v>
      </c>
      <c r="BF429" s="28">
        <f>429</f>
        <v>429</v>
      </c>
      <c r="BH429" s="18">
        <f>I429*AO429</f>
        <v>0</v>
      </c>
      <c r="BI429" s="18">
        <f>I429*AP429</f>
        <v>0</v>
      </c>
      <c r="BJ429" s="18">
        <f>I429*J429</f>
        <v>0</v>
      </c>
      <c r="BK429" s="18" t="s">
        <v>1634</v>
      </c>
      <c r="BL429" s="28">
        <v>725</v>
      </c>
    </row>
    <row r="430" spans="1:15" ht="12.75">
      <c r="A430" s="82"/>
      <c r="B430" s="83"/>
      <c r="C430" s="83"/>
      <c r="D430" s="85" t="s">
        <v>8</v>
      </c>
      <c r="G430" s="86" t="s">
        <v>1412</v>
      </c>
      <c r="H430" s="83"/>
      <c r="I430" s="88">
        <v>2</v>
      </c>
      <c r="J430" s="83"/>
      <c r="K430" s="83"/>
      <c r="L430" s="83"/>
      <c r="M430" s="83"/>
      <c r="N430" s="80"/>
      <c r="O430" s="67"/>
    </row>
    <row r="431" spans="1:15" ht="12.75">
      <c r="A431" s="3"/>
      <c r="C431" s="12" t="s">
        <v>296</v>
      </c>
      <c r="D431" s="142" t="s">
        <v>877</v>
      </c>
      <c r="E431" s="143"/>
      <c r="F431" s="143"/>
      <c r="G431" s="143"/>
      <c r="H431" s="143"/>
      <c r="I431" s="143"/>
      <c r="J431" s="143"/>
      <c r="K431" s="143"/>
      <c r="L431" s="143"/>
      <c r="M431" s="143"/>
      <c r="N431" s="144"/>
      <c r="O431" s="3"/>
    </row>
    <row r="432" spans="1:64" ht="12.75">
      <c r="A432" s="81" t="s">
        <v>96</v>
      </c>
      <c r="B432" s="81" t="s">
        <v>283</v>
      </c>
      <c r="C432" s="81" t="s">
        <v>382</v>
      </c>
      <c r="D432" s="139" t="s">
        <v>878</v>
      </c>
      <c r="E432" s="134"/>
      <c r="F432" s="134"/>
      <c r="G432" s="140"/>
      <c r="H432" s="81" t="s">
        <v>1540</v>
      </c>
      <c r="I432" s="87">
        <v>2.44</v>
      </c>
      <c r="J432" s="87">
        <v>0</v>
      </c>
      <c r="K432" s="87">
        <f>I432*AO432</f>
        <v>0</v>
      </c>
      <c r="L432" s="87">
        <f>I432*AP432</f>
        <v>0</v>
      </c>
      <c r="M432" s="87">
        <f>I432*J432</f>
        <v>0</v>
      </c>
      <c r="N432" s="77" t="s">
        <v>1556</v>
      </c>
      <c r="O432" s="67"/>
      <c r="Z432" s="28">
        <f>IF(AQ432="5",BJ432,0)</f>
        <v>0</v>
      </c>
      <c r="AB432" s="28">
        <f>IF(AQ432="1",BH432,0)</f>
        <v>0</v>
      </c>
      <c r="AC432" s="28">
        <f>IF(AQ432="1",BI432,0)</f>
        <v>0</v>
      </c>
      <c r="AD432" s="28">
        <f>IF(AQ432="7",BH432,0)</f>
        <v>0</v>
      </c>
      <c r="AE432" s="28">
        <f>IF(AQ432="7",BI432,0)</f>
        <v>0</v>
      </c>
      <c r="AF432" s="28">
        <f>IF(AQ432="2",BH432,0)</f>
        <v>0</v>
      </c>
      <c r="AG432" s="28">
        <f>IF(AQ432="2",BI432,0)</f>
        <v>0</v>
      </c>
      <c r="AH432" s="28">
        <f>IF(AQ432="0",BJ432,0)</f>
        <v>0</v>
      </c>
      <c r="AI432" s="27" t="s">
        <v>283</v>
      </c>
      <c r="AJ432" s="18">
        <f>IF(AN432=0,M432,0)</f>
        <v>0</v>
      </c>
      <c r="AK432" s="18">
        <f>IF(AN432=15,M432,0)</f>
        <v>0</v>
      </c>
      <c r="AL432" s="18">
        <f>IF(AN432=21,M432,0)</f>
        <v>0</v>
      </c>
      <c r="AN432" s="28">
        <v>15</v>
      </c>
      <c r="AO432" s="28">
        <f>J432*0</f>
        <v>0</v>
      </c>
      <c r="AP432" s="28">
        <f>J432*(1-0)</f>
        <v>0</v>
      </c>
      <c r="AQ432" s="29" t="s">
        <v>11</v>
      </c>
      <c r="AV432" s="28">
        <f>AW432+AX432</f>
        <v>0</v>
      </c>
      <c r="AW432" s="28">
        <f>I432*AO432</f>
        <v>0</v>
      </c>
      <c r="AX432" s="28">
        <f>I432*AP432</f>
        <v>0</v>
      </c>
      <c r="AY432" s="31" t="s">
        <v>1588</v>
      </c>
      <c r="AZ432" s="31" t="s">
        <v>1620</v>
      </c>
      <c r="BA432" s="27" t="s">
        <v>1628</v>
      </c>
      <c r="BC432" s="28">
        <f>AW432+AX432</f>
        <v>0</v>
      </c>
      <c r="BD432" s="28">
        <f>J432/(100-BE432)*100</f>
        <v>0</v>
      </c>
      <c r="BE432" s="28">
        <v>0</v>
      </c>
      <c r="BF432" s="28">
        <f>432</f>
        <v>432</v>
      </c>
      <c r="BH432" s="18">
        <f>I432*AO432</f>
        <v>0</v>
      </c>
      <c r="BI432" s="18">
        <f>I432*AP432</f>
        <v>0</v>
      </c>
      <c r="BJ432" s="18">
        <f>I432*J432</f>
        <v>0</v>
      </c>
      <c r="BK432" s="18" t="s">
        <v>1634</v>
      </c>
      <c r="BL432" s="28">
        <v>725</v>
      </c>
    </row>
    <row r="433" spans="1:15" ht="12.75">
      <c r="A433" s="89"/>
      <c r="B433" s="90"/>
      <c r="C433" s="90"/>
      <c r="D433" s="84" t="s">
        <v>879</v>
      </c>
      <c r="G433" s="91"/>
      <c r="H433" s="90"/>
      <c r="I433" s="92">
        <v>2.44</v>
      </c>
      <c r="J433" s="90"/>
      <c r="K433" s="90"/>
      <c r="L433" s="90"/>
      <c r="M433" s="90"/>
      <c r="N433" s="79"/>
      <c r="O433" s="67"/>
    </row>
    <row r="434" spans="1:47" ht="12.75">
      <c r="A434" s="72"/>
      <c r="B434" s="73" t="s">
        <v>283</v>
      </c>
      <c r="C434" s="73" t="s">
        <v>383</v>
      </c>
      <c r="D434" s="130" t="s">
        <v>880</v>
      </c>
      <c r="E434" s="131"/>
      <c r="F434" s="131"/>
      <c r="G434" s="132"/>
      <c r="H434" s="72" t="s">
        <v>6</v>
      </c>
      <c r="I434" s="72" t="s">
        <v>6</v>
      </c>
      <c r="J434" s="72" t="s">
        <v>6</v>
      </c>
      <c r="K434" s="76">
        <f>SUM(K435:K448)</f>
        <v>0</v>
      </c>
      <c r="L434" s="76">
        <f>SUM(L435:L448)</f>
        <v>0</v>
      </c>
      <c r="M434" s="76">
        <f>SUM(M435:M448)</f>
        <v>0</v>
      </c>
      <c r="N434" s="71"/>
      <c r="O434" s="67"/>
      <c r="AI434" s="27" t="s">
        <v>283</v>
      </c>
      <c r="AS434" s="33">
        <f>SUM(AJ435:AJ448)</f>
        <v>0</v>
      </c>
      <c r="AT434" s="33">
        <f>SUM(AK435:AK448)</f>
        <v>0</v>
      </c>
      <c r="AU434" s="33">
        <f>SUM(AL435:AL448)</f>
        <v>0</v>
      </c>
    </row>
    <row r="435" spans="1:64" ht="12.75">
      <c r="A435" s="81" t="s">
        <v>97</v>
      </c>
      <c r="B435" s="81" t="s">
        <v>283</v>
      </c>
      <c r="C435" s="81" t="s">
        <v>384</v>
      </c>
      <c r="D435" s="139" t="s">
        <v>881</v>
      </c>
      <c r="E435" s="134"/>
      <c r="F435" s="134"/>
      <c r="G435" s="140"/>
      <c r="H435" s="81" t="s">
        <v>1538</v>
      </c>
      <c r="I435" s="87">
        <v>8</v>
      </c>
      <c r="J435" s="87">
        <v>0</v>
      </c>
      <c r="K435" s="87">
        <f>I435*AO435</f>
        <v>0</v>
      </c>
      <c r="L435" s="87">
        <f>I435*AP435</f>
        <v>0</v>
      </c>
      <c r="M435" s="87">
        <f>I435*J435</f>
        <v>0</v>
      </c>
      <c r="N435" s="77" t="s">
        <v>1556</v>
      </c>
      <c r="O435" s="67"/>
      <c r="Z435" s="28">
        <f>IF(AQ435="5",BJ435,0)</f>
        <v>0</v>
      </c>
      <c r="AB435" s="28">
        <f>IF(AQ435="1",BH435,0)</f>
        <v>0</v>
      </c>
      <c r="AC435" s="28">
        <f>IF(AQ435="1",BI435,0)</f>
        <v>0</v>
      </c>
      <c r="AD435" s="28">
        <f>IF(AQ435="7",BH435,0)</f>
        <v>0</v>
      </c>
      <c r="AE435" s="28">
        <f>IF(AQ435="7",BI435,0)</f>
        <v>0</v>
      </c>
      <c r="AF435" s="28">
        <f>IF(AQ435="2",BH435,0)</f>
        <v>0</v>
      </c>
      <c r="AG435" s="28">
        <f>IF(AQ435="2",BI435,0)</f>
        <v>0</v>
      </c>
      <c r="AH435" s="28">
        <f>IF(AQ435="0",BJ435,0)</f>
        <v>0</v>
      </c>
      <c r="AI435" s="27" t="s">
        <v>283</v>
      </c>
      <c r="AJ435" s="18">
        <f>IF(AN435=0,M435,0)</f>
        <v>0</v>
      </c>
      <c r="AK435" s="18">
        <f>IF(AN435=15,M435,0)</f>
        <v>0</v>
      </c>
      <c r="AL435" s="18">
        <f>IF(AN435=21,M435,0)</f>
        <v>0</v>
      </c>
      <c r="AN435" s="28">
        <v>15</v>
      </c>
      <c r="AO435" s="28">
        <f>J435*0</f>
        <v>0</v>
      </c>
      <c r="AP435" s="28">
        <f>J435*(1-0)</f>
        <v>0</v>
      </c>
      <c r="AQ435" s="29" t="s">
        <v>13</v>
      </c>
      <c r="AV435" s="28">
        <f>AW435+AX435</f>
        <v>0</v>
      </c>
      <c r="AW435" s="28">
        <f>I435*AO435</f>
        <v>0</v>
      </c>
      <c r="AX435" s="28">
        <f>I435*AP435</f>
        <v>0</v>
      </c>
      <c r="AY435" s="31" t="s">
        <v>1589</v>
      </c>
      <c r="AZ435" s="31" t="s">
        <v>1620</v>
      </c>
      <c r="BA435" s="27" t="s">
        <v>1628</v>
      </c>
      <c r="BC435" s="28">
        <f>AW435+AX435</f>
        <v>0</v>
      </c>
      <c r="BD435" s="28">
        <f>J435/(100-BE435)*100</f>
        <v>0</v>
      </c>
      <c r="BE435" s="28">
        <v>0</v>
      </c>
      <c r="BF435" s="28">
        <f>435</f>
        <v>435</v>
      </c>
      <c r="BH435" s="18">
        <f>I435*AO435</f>
        <v>0</v>
      </c>
      <c r="BI435" s="18">
        <f>I435*AP435</f>
        <v>0</v>
      </c>
      <c r="BJ435" s="18">
        <f>I435*J435</f>
        <v>0</v>
      </c>
      <c r="BK435" s="18" t="s">
        <v>1634</v>
      </c>
      <c r="BL435" s="28">
        <v>728</v>
      </c>
    </row>
    <row r="436" spans="1:15" ht="12.75">
      <c r="A436" s="82"/>
      <c r="B436" s="83"/>
      <c r="C436" s="83"/>
      <c r="D436" s="85" t="s">
        <v>14</v>
      </c>
      <c r="G436" s="86" t="s">
        <v>1413</v>
      </c>
      <c r="H436" s="83"/>
      <c r="I436" s="88">
        <v>8</v>
      </c>
      <c r="J436" s="83"/>
      <c r="K436" s="83"/>
      <c r="L436" s="83"/>
      <c r="M436" s="83"/>
      <c r="N436" s="80"/>
      <c r="O436" s="67"/>
    </row>
    <row r="437" spans="1:15" ht="12.75">
      <c r="A437" s="3"/>
      <c r="C437" s="12" t="s">
        <v>296</v>
      </c>
      <c r="D437" s="142" t="s">
        <v>877</v>
      </c>
      <c r="E437" s="143"/>
      <c r="F437" s="143"/>
      <c r="G437" s="143"/>
      <c r="H437" s="143"/>
      <c r="I437" s="143"/>
      <c r="J437" s="143"/>
      <c r="K437" s="143"/>
      <c r="L437" s="143"/>
      <c r="M437" s="143"/>
      <c r="N437" s="144"/>
      <c r="O437" s="3"/>
    </row>
    <row r="438" spans="1:64" ht="12.75">
      <c r="A438" s="81" t="s">
        <v>98</v>
      </c>
      <c r="B438" s="81" t="s">
        <v>283</v>
      </c>
      <c r="C438" s="81" t="s">
        <v>385</v>
      </c>
      <c r="D438" s="139" t="s">
        <v>882</v>
      </c>
      <c r="E438" s="134"/>
      <c r="F438" s="134"/>
      <c r="G438" s="140"/>
      <c r="H438" s="81" t="s">
        <v>1538</v>
      </c>
      <c r="I438" s="87">
        <v>2</v>
      </c>
      <c r="J438" s="87">
        <v>0</v>
      </c>
      <c r="K438" s="87">
        <f>I438*AO438</f>
        <v>0</v>
      </c>
      <c r="L438" s="87">
        <f>I438*AP438</f>
        <v>0</v>
      </c>
      <c r="M438" s="87">
        <f>I438*J438</f>
        <v>0</v>
      </c>
      <c r="N438" s="77" t="s">
        <v>1556</v>
      </c>
      <c r="O438" s="67"/>
      <c r="Z438" s="28">
        <f>IF(AQ438="5",BJ438,0)</f>
        <v>0</v>
      </c>
      <c r="AB438" s="28">
        <f>IF(AQ438="1",BH438,0)</f>
        <v>0</v>
      </c>
      <c r="AC438" s="28">
        <f>IF(AQ438="1",BI438,0)</f>
        <v>0</v>
      </c>
      <c r="AD438" s="28">
        <f>IF(AQ438="7",BH438,0)</f>
        <v>0</v>
      </c>
      <c r="AE438" s="28">
        <f>IF(AQ438="7",BI438,0)</f>
        <v>0</v>
      </c>
      <c r="AF438" s="28">
        <f>IF(AQ438="2",BH438,0)</f>
        <v>0</v>
      </c>
      <c r="AG438" s="28">
        <f>IF(AQ438="2",BI438,0)</f>
        <v>0</v>
      </c>
      <c r="AH438" s="28">
        <f>IF(AQ438="0",BJ438,0)</f>
        <v>0</v>
      </c>
      <c r="AI438" s="27" t="s">
        <v>283</v>
      </c>
      <c r="AJ438" s="18">
        <f>IF(AN438=0,M438,0)</f>
        <v>0</v>
      </c>
      <c r="AK438" s="18">
        <f>IF(AN438=15,M438,0)</f>
        <v>0</v>
      </c>
      <c r="AL438" s="18">
        <f>IF(AN438=21,M438,0)</f>
        <v>0</v>
      </c>
      <c r="AN438" s="28">
        <v>15</v>
      </c>
      <c r="AO438" s="28">
        <f>J438*0</f>
        <v>0</v>
      </c>
      <c r="AP438" s="28">
        <f>J438*(1-0)</f>
        <v>0</v>
      </c>
      <c r="AQ438" s="29" t="s">
        <v>13</v>
      </c>
      <c r="AV438" s="28">
        <f>AW438+AX438</f>
        <v>0</v>
      </c>
      <c r="AW438" s="28">
        <f>I438*AO438</f>
        <v>0</v>
      </c>
      <c r="AX438" s="28">
        <f>I438*AP438</f>
        <v>0</v>
      </c>
      <c r="AY438" s="31" t="s">
        <v>1589</v>
      </c>
      <c r="AZ438" s="31" t="s">
        <v>1620</v>
      </c>
      <c r="BA438" s="27" t="s">
        <v>1628</v>
      </c>
      <c r="BC438" s="28">
        <f>AW438+AX438</f>
        <v>0</v>
      </c>
      <c r="BD438" s="28">
        <f>J438/(100-BE438)*100</f>
        <v>0</v>
      </c>
      <c r="BE438" s="28">
        <v>0</v>
      </c>
      <c r="BF438" s="28">
        <f>438</f>
        <v>438</v>
      </c>
      <c r="BH438" s="18">
        <f>I438*AO438</f>
        <v>0</v>
      </c>
      <c r="BI438" s="18">
        <f>I438*AP438</f>
        <v>0</v>
      </c>
      <c r="BJ438" s="18">
        <f>I438*J438</f>
        <v>0</v>
      </c>
      <c r="BK438" s="18" t="s">
        <v>1634</v>
      </c>
      <c r="BL438" s="28">
        <v>728</v>
      </c>
    </row>
    <row r="439" spans="1:15" ht="12.75">
      <c r="A439" s="82"/>
      <c r="B439" s="83"/>
      <c r="C439" s="83"/>
      <c r="D439" s="85" t="s">
        <v>8</v>
      </c>
      <c r="G439" s="86" t="s">
        <v>1414</v>
      </c>
      <c r="H439" s="83"/>
      <c r="I439" s="88">
        <v>2</v>
      </c>
      <c r="J439" s="83"/>
      <c r="K439" s="83"/>
      <c r="L439" s="83"/>
      <c r="M439" s="83"/>
      <c r="N439" s="80"/>
      <c r="O439" s="67"/>
    </row>
    <row r="440" spans="1:15" ht="12.75">
      <c r="A440" s="3"/>
      <c r="C440" s="12" t="s">
        <v>296</v>
      </c>
      <c r="D440" s="142" t="s">
        <v>877</v>
      </c>
      <c r="E440" s="143"/>
      <c r="F440" s="143"/>
      <c r="G440" s="143"/>
      <c r="H440" s="143"/>
      <c r="I440" s="143"/>
      <c r="J440" s="143"/>
      <c r="K440" s="143"/>
      <c r="L440" s="143"/>
      <c r="M440" s="143"/>
      <c r="N440" s="144"/>
      <c r="O440" s="3"/>
    </row>
    <row r="441" spans="1:64" ht="12.75">
      <c r="A441" s="81" t="s">
        <v>99</v>
      </c>
      <c r="B441" s="81" t="s">
        <v>283</v>
      </c>
      <c r="C441" s="81" t="s">
        <v>386</v>
      </c>
      <c r="D441" s="139" t="s">
        <v>883</v>
      </c>
      <c r="E441" s="134"/>
      <c r="F441" s="134"/>
      <c r="G441" s="140"/>
      <c r="H441" s="81" t="s">
        <v>1538</v>
      </c>
      <c r="I441" s="87">
        <v>7</v>
      </c>
      <c r="J441" s="87">
        <v>0</v>
      </c>
      <c r="K441" s="87">
        <f>I441*AO441</f>
        <v>0</v>
      </c>
      <c r="L441" s="87">
        <f>I441*AP441</f>
        <v>0</v>
      </c>
      <c r="M441" s="87">
        <f>I441*J441</f>
        <v>0</v>
      </c>
      <c r="N441" s="77" t="s">
        <v>1556</v>
      </c>
      <c r="O441" s="67"/>
      <c r="Z441" s="28">
        <f>IF(AQ441="5",BJ441,0)</f>
        <v>0</v>
      </c>
      <c r="AB441" s="28">
        <f>IF(AQ441="1",BH441,0)</f>
        <v>0</v>
      </c>
      <c r="AC441" s="28">
        <f>IF(AQ441="1",BI441,0)</f>
        <v>0</v>
      </c>
      <c r="AD441" s="28">
        <f>IF(AQ441="7",BH441,0)</f>
        <v>0</v>
      </c>
      <c r="AE441" s="28">
        <f>IF(AQ441="7",BI441,0)</f>
        <v>0</v>
      </c>
      <c r="AF441" s="28">
        <f>IF(AQ441="2",BH441,0)</f>
        <v>0</v>
      </c>
      <c r="AG441" s="28">
        <f>IF(AQ441="2",BI441,0)</f>
        <v>0</v>
      </c>
      <c r="AH441" s="28">
        <f>IF(AQ441="0",BJ441,0)</f>
        <v>0</v>
      </c>
      <c r="AI441" s="27" t="s">
        <v>283</v>
      </c>
      <c r="AJ441" s="18">
        <f>IF(AN441=0,M441,0)</f>
        <v>0</v>
      </c>
      <c r="AK441" s="18">
        <f>IF(AN441=15,M441,0)</f>
        <v>0</v>
      </c>
      <c r="AL441" s="18">
        <f>IF(AN441=21,M441,0)</f>
        <v>0</v>
      </c>
      <c r="AN441" s="28">
        <v>15</v>
      </c>
      <c r="AO441" s="28">
        <f>J441*0</f>
        <v>0</v>
      </c>
      <c r="AP441" s="28">
        <f>J441*(1-0)</f>
        <v>0</v>
      </c>
      <c r="AQ441" s="29" t="s">
        <v>13</v>
      </c>
      <c r="AV441" s="28">
        <f>AW441+AX441</f>
        <v>0</v>
      </c>
      <c r="AW441" s="28">
        <f>I441*AO441</f>
        <v>0</v>
      </c>
      <c r="AX441" s="28">
        <f>I441*AP441</f>
        <v>0</v>
      </c>
      <c r="AY441" s="31" t="s">
        <v>1589</v>
      </c>
      <c r="AZ441" s="31" t="s">
        <v>1620</v>
      </c>
      <c r="BA441" s="27" t="s">
        <v>1628</v>
      </c>
      <c r="BC441" s="28">
        <f>AW441+AX441</f>
        <v>0</v>
      </c>
      <c r="BD441" s="28">
        <f>J441/(100-BE441)*100</f>
        <v>0</v>
      </c>
      <c r="BE441" s="28">
        <v>0</v>
      </c>
      <c r="BF441" s="28">
        <f>441</f>
        <v>441</v>
      </c>
      <c r="BH441" s="18">
        <f>I441*AO441</f>
        <v>0</v>
      </c>
      <c r="BI441" s="18">
        <f>I441*AP441</f>
        <v>0</v>
      </c>
      <c r="BJ441" s="18">
        <f>I441*J441</f>
        <v>0</v>
      </c>
      <c r="BK441" s="18" t="s">
        <v>1634</v>
      </c>
      <c r="BL441" s="28">
        <v>728</v>
      </c>
    </row>
    <row r="442" spans="1:15" ht="12.75">
      <c r="A442" s="82"/>
      <c r="B442" s="83"/>
      <c r="C442" s="83"/>
      <c r="D442" s="85" t="s">
        <v>13</v>
      </c>
      <c r="G442" s="86" t="s">
        <v>1415</v>
      </c>
      <c r="H442" s="83"/>
      <c r="I442" s="88">
        <v>7</v>
      </c>
      <c r="J442" s="83"/>
      <c r="K442" s="83"/>
      <c r="L442" s="83"/>
      <c r="M442" s="83"/>
      <c r="N442" s="80"/>
      <c r="O442" s="67"/>
    </row>
    <row r="443" spans="1:15" ht="12.75">
      <c r="A443" s="3"/>
      <c r="C443" s="12" t="s">
        <v>296</v>
      </c>
      <c r="D443" s="142" t="s">
        <v>869</v>
      </c>
      <c r="E443" s="143"/>
      <c r="F443" s="143"/>
      <c r="G443" s="143"/>
      <c r="H443" s="143"/>
      <c r="I443" s="143"/>
      <c r="J443" s="143"/>
      <c r="K443" s="143"/>
      <c r="L443" s="143"/>
      <c r="M443" s="143"/>
      <c r="N443" s="144"/>
      <c r="O443" s="3"/>
    </row>
    <row r="444" spans="1:64" ht="12.75">
      <c r="A444" s="94" t="s">
        <v>100</v>
      </c>
      <c r="B444" s="94" t="s">
        <v>283</v>
      </c>
      <c r="C444" s="94" t="s">
        <v>387</v>
      </c>
      <c r="D444" s="148" t="s">
        <v>884</v>
      </c>
      <c r="E444" s="149"/>
      <c r="F444" s="149"/>
      <c r="G444" s="150"/>
      <c r="H444" s="94" t="s">
        <v>1538</v>
      </c>
      <c r="I444" s="95">
        <v>7</v>
      </c>
      <c r="J444" s="95">
        <v>0</v>
      </c>
      <c r="K444" s="95">
        <f>I444*AO444</f>
        <v>0</v>
      </c>
      <c r="L444" s="95">
        <f>I444*AP444</f>
        <v>0</v>
      </c>
      <c r="M444" s="95">
        <f>I444*J444</f>
        <v>0</v>
      </c>
      <c r="N444" s="93" t="s">
        <v>1555</v>
      </c>
      <c r="O444" s="67"/>
      <c r="Z444" s="28">
        <f>IF(AQ444="5",BJ444,0)</f>
        <v>0</v>
      </c>
      <c r="AB444" s="28">
        <f>IF(AQ444="1",BH444,0)</f>
        <v>0</v>
      </c>
      <c r="AC444" s="28">
        <f>IF(AQ444="1",BI444,0)</f>
        <v>0</v>
      </c>
      <c r="AD444" s="28">
        <f>IF(AQ444="7",BH444,0)</f>
        <v>0</v>
      </c>
      <c r="AE444" s="28">
        <f>IF(AQ444="7",BI444,0)</f>
        <v>0</v>
      </c>
      <c r="AF444" s="28">
        <f>IF(AQ444="2",BH444,0)</f>
        <v>0</v>
      </c>
      <c r="AG444" s="28">
        <f>IF(AQ444="2",BI444,0)</f>
        <v>0</v>
      </c>
      <c r="AH444" s="28">
        <f>IF(AQ444="0",BJ444,0)</f>
        <v>0</v>
      </c>
      <c r="AI444" s="27" t="s">
        <v>283</v>
      </c>
      <c r="AJ444" s="20">
        <f>IF(AN444=0,M444,0)</f>
        <v>0</v>
      </c>
      <c r="AK444" s="20">
        <f>IF(AN444=15,M444,0)</f>
        <v>0</v>
      </c>
      <c r="AL444" s="20">
        <f>IF(AN444=21,M444,0)</f>
        <v>0</v>
      </c>
      <c r="AN444" s="28">
        <v>15</v>
      </c>
      <c r="AO444" s="28">
        <f>J444*1</f>
        <v>0</v>
      </c>
      <c r="AP444" s="28">
        <f>J444*(1-1)</f>
        <v>0</v>
      </c>
      <c r="AQ444" s="30" t="s">
        <v>13</v>
      </c>
      <c r="AV444" s="28">
        <f>AW444+AX444</f>
        <v>0</v>
      </c>
      <c r="AW444" s="28">
        <f>I444*AO444</f>
        <v>0</v>
      </c>
      <c r="AX444" s="28">
        <f>I444*AP444</f>
        <v>0</v>
      </c>
      <c r="AY444" s="31" t="s">
        <v>1589</v>
      </c>
      <c r="AZ444" s="31" t="s">
        <v>1620</v>
      </c>
      <c r="BA444" s="27" t="s">
        <v>1628</v>
      </c>
      <c r="BC444" s="28">
        <f>AW444+AX444</f>
        <v>0</v>
      </c>
      <c r="BD444" s="28">
        <f>J444/(100-BE444)*100</f>
        <v>0</v>
      </c>
      <c r="BE444" s="28">
        <v>0</v>
      </c>
      <c r="BF444" s="28">
        <f>444</f>
        <v>444</v>
      </c>
      <c r="BH444" s="20">
        <f>I444*AO444</f>
        <v>0</v>
      </c>
      <c r="BI444" s="20">
        <f>I444*AP444</f>
        <v>0</v>
      </c>
      <c r="BJ444" s="20">
        <f>I444*J444</f>
        <v>0</v>
      </c>
      <c r="BK444" s="20" t="s">
        <v>1635</v>
      </c>
      <c r="BL444" s="28">
        <v>728</v>
      </c>
    </row>
    <row r="445" spans="1:15" ht="12.75">
      <c r="A445" s="82"/>
      <c r="B445" s="83"/>
      <c r="C445" s="83"/>
      <c r="D445" s="85" t="s">
        <v>13</v>
      </c>
      <c r="G445" s="86" t="s">
        <v>1415</v>
      </c>
      <c r="H445" s="83"/>
      <c r="I445" s="88">
        <v>7</v>
      </c>
      <c r="J445" s="83"/>
      <c r="K445" s="83"/>
      <c r="L445" s="83"/>
      <c r="M445" s="83"/>
      <c r="N445" s="80"/>
      <c r="O445" s="67"/>
    </row>
    <row r="446" spans="1:15" ht="25.5" customHeight="1">
      <c r="A446" s="3"/>
      <c r="C446" s="13" t="s">
        <v>302</v>
      </c>
      <c r="D446" s="145" t="s">
        <v>885</v>
      </c>
      <c r="E446" s="146"/>
      <c r="F446" s="146"/>
      <c r="G446" s="146"/>
      <c r="H446" s="146"/>
      <c r="I446" s="146"/>
      <c r="J446" s="146"/>
      <c r="K446" s="146"/>
      <c r="L446" s="146"/>
      <c r="M446" s="146"/>
      <c r="N446" s="147"/>
      <c r="O446" s="3"/>
    </row>
    <row r="447" spans="1:15" ht="12.75">
      <c r="A447" s="3"/>
      <c r="C447" s="12" t="s">
        <v>296</v>
      </c>
      <c r="D447" s="142" t="s">
        <v>869</v>
      </c>
      <c r="E447" s="143"/>
      <c r="F447" s="143"/>
      <c r="G447" s="143"/>
      <c r="H447" s="143"/>
      <c r="I447" s="143"/>
      <c r="J447" s="143"/>
      <c r="K447" s="143"/>
      <c r="L447" s="143"/>
      <c r="M447" s="143"/>
      <c r="N447" s="144"/>
      <c r="O447" s="3"/>
    </row>
    <row r="448" spans="1:64" ht="12.75">
      <c r="A448" s="81" t="s">
        <v>101</v>
      </c>
      <c r="B448" s="81" t="s">
        <v>283</v>
      </c>
      <c r="C448" s="81" t="s">
        <v>388</v>
      </c>
      <c r="D448" s="139" t="s">
        <v>886</v>
      </c>
      <c r="E448" s="134"/>
      <c r="F448" s="134"/>
      <c r="G448" s="140"/>
      <c r="H448" s="81" t="s">
        <v>1540</v>
      </c>
      <c r="I448" s="87">
        <v>61.84</v>
      </c>
      <c r="J448" s="87">
        <v>0</v>
      </c>
      <c r="K448" s="87">
        <f>I448*AO448</f>
        <v>0</v>
      </c>
      <c r="L448" s="87">
        <f>I448*AP448</f>
        <v>0</v>
      </c>
      <c r="M448" s="87">
        <f>I448*J448</f>
        <v>0</v>
      </c>
      <c r="N448" s="77" t="s">
        <v>1556</v>
      </c>
      <c r="O448" s="67"/>
      <c r="Z448" s="28">
        <f>IF(AQ448="5",BJ448,0)</f>
        <v>0</v>
      </c>
      <c r="AB448" s="28">
        <f>IF(AQ448="1",BH448,0)</f>
        <v>0</v>
      </c>
      <c r="AC448" s="28">
        <f>IF(AQ448="1",BI448,0)</f>
        <v>0</v>
      </c>
      <c r="AD448" s="28">
        <f>IF(AQ448="7",BH448,0)</f>
        <v>0</v>
      </c>
      <c r="AE448" s="28">
        <f>IF(AQ448="7",BI448,0)</f>
        <v>0</v>
      </c>
      <c r="AF448" s="28">
        <f>IF(AQ448="2",BH448,0)</f>
        <v>0</v>
      </c>
      <c r="AG448" s="28">
        <f>IF(AQ448="2",BI448,0)</f>
        <v>0</v>
      </c>
      <c r="AH448" s="28">
        <f>IF(AQ448="0",BJ448,0)</f>
        <v>0</v>
      </c>
      <c r="AI448" s="27" t="s">
        <v>283</v>
      </c>
      <c r="AJ448" s="18">
        <f>IF(AN448=0,M448,0)</f>
        <v>0</v>
      </c>
      <c r="AK448" s="18">
        <f>IF(AN448=15,M448,0)</f>
        <v>0</v>
      </c>
      <c r="AL448" s="18">
        <f>IF(AN448=21,M448,0)</f>
        <v>0</v>
      </c>
      <c r="AN448" s="28">
        <v>15</v>
      </c>
      <c r="AO448" s="28">
        <f>J448*0</f>
        <v>0</v>
      </c>
      <c r="AP448" s="28">
        <f>J448*(1-0)</f>
        <v>0</v>
      </c>
      <c r="AQ448" s="29" t="s">
        <v>11</v>
      </c>
      <c r="AV448" s="28">
        <f>AW448+AX448</f>
        <v>0</v>
      </c>
      <c r="AW448" s="28">
        <f>I448*AO448</f>
        <v>0</v>
      </c>
      <c r="AX448" s="28">
        <f>I448*AP448</f>
        <v>0</v>
      </c>
      <c r="AY448" s="31" t="s">
        <v>1589</v>
      </c>
      <c r="AZ448" s="31" t="s">
        <v>1620</v>
      </c>
      <c r="BA448" s="27" t="s">
        <v>1628</v>
      </c>
      <c r="BC448" s="28">
        <f>AW448+AX448</f>
        <v>0</v>
      </c>
      <c r="BD448" s="28">
        <f>J448/(100-BE448)*100</f>
        <v>0</v>
      </c>
      <c r="BE448" s="28">
        <v>0</v>
      </c>
      <c r="BF448" s="28">
        <f>448</f>
        <v>448</v>
      </c>
      <c r="BH448" s="18">
        <f>I448*AO448</f>
        <v>0</v>
      </c>
      <c r="BI448" s="18">
        <f>I448*AP448</f>
        <v>0</v>
      </c>
      <c r="BJ448" s="18">
        <f>I448*J448</f>
        <v>0</v>
      </c>
      <c r="BK448" s="18" t="s">
        <v>1634</v>
      </c>
      <c r="BL448" s="28">
        <v>728</v>
      </c>
    </row>
    <row r="449" spans="1:15" ht="12.75">
      <c r="A449" s="89"/>
      <c r="B449" s="90"/>
      <c r="C449" s="90"/>
      <c r="D449" s="84" t="s">
        <v>887</v>
      </c>
      <c r="G449" s="91"/>
      <c r="H449" s="90"/>
      <c r="I449" s="92">
        <v>61.84</v>
      </c>
      <c r="J449" s="90"/>
      <c r="K449" s="90"/>
      <c r="L449" s="90"/>
      <c r="M449" s="90"/>
      <c r="N449" s="79"/>
      <c r="O449" s="67"/>
    </row>
    <row r="450" spans="1:47" ht="12.75">
      <c r="A450" s="72"/>
      <c r="B450" s="73" t="s">
        <v>283</v>
      </c>
      <c r="C450" s="73" t="s">
        <v>389</v>
      </c>
      <c r="D450" s="130" t="s">
        <v>888</v>
      </c>
      <c r="E450" s="131"/>
      <c r="F450" s="131"/>
      <c r="G450" s="132"/>
      <c r="H450" s="72" t="s">
        <v>6</v>
      </c>
      <c r="I450" s="72" t="s">
        <v>6</v>
      </c>
      <c r="J450" s="72" t="s">
        <v>6</v>
      </c>
      <c r="K450" s="76">
        <f>SUM(K451:K458)</f>
        <v>0</v>
      </c>
      <c r="L450" s="76">
        <f>SUM(L451:L458)</f>
        <v>0</v>
      </c>
      <c r="M450" s="76">
        <f>SUM(M451:M458)</f>
        <v>0</v>
      </c>
      <c r="N450" s="71"/>
      <c r="O450" s="67"/>
      <c r="AI450" s="27" t="s">
        <v>283</v>
      </c>
      <c r="AS450" s="33">
        <f>SUM(AJ451:AJ458)</f>
        <v>0</v>
      </c>
      <c r="AT450" s="33">
        <f>SUM(AK451:AK458)</f>
        <v>0</v>
      </c>
      <c r="AU450" s="33">
        <f>SUM(AL451:AL458)</f>
        <v>0</v>
      </c>
    </row>
    <row r="451" spans="1:64" ht="12.75">
      <c r="A451" s="81" t="s">
        <v>102</v>
      </c>
      <c r="B451" s="81" t="s">
        <v>283</v>
      </c>
      <c r="C451" s="81" t="s">
        <v>390</v>
      </c>
      <c r="D451" s="139" t="s">
        <v>889</v>
      </c>
      <c r="E451" s="134"/>
      <c r="F451" s="134"/>
      <c r="G451" s="140"/>
      <c r="H451" s="81" t="s">
        <v>1538</v>
      </c>
      <c r="I451" s="87">
        <v>2</v>
      </c>
      <c r="J451" s="87">
        <v>0</v>
      </c>
      <c r="K451" s="87">
        <f>I451*AO451</f>
        <v>0</v>
      </c>
      <c r="L451" s="87">
        <f>I451*AP451</f>
        <v>0</v>
      </c>
      <c r="M451" s="87">
        <f>I451*J451</f>
        <v>0</v>
      </c>
      <c r="N451" s="77" t="s">
        <v>1556</v>
      </c>
      <c r="O451" s="67"/>
      <c r="Z451" s="28">
        <f>IF(AQ451="5",BJ451,0)</f>
        <v>0</v>
      </c>
      <c r="AB451" s="28">
        <f>IF(AQ451="1",BH451,0)</f>
        <v>0</v>
      </c>
      <c r="AC451" s="28">
        <f>IF(AQ451="1",BI451,0)</f>
        <v>0</v>
      </c>
      <c r="AD451" s="28">
        <f>IF(AQ451="7",BH451,0)</f>
        <v>0</v>
      </c>
      <c r="AE451" s="28">
        <f>IF(AQ451="7",BI451,0)</f>
        <v>0</v>
      </c>
      <c r="AF451" s="28">
        <f>IF(AQ451="2",BH451,0)</f>
        <v>0</v>
      </c>
      <c r="AG451" s="28">
        <f>IF(AQ451="2",BI451,0)</f>
        <v>0</v>
      </c>
      <c r="AH451" s="28">
        <f>IF(AQ451="0",BJ451,0)</f>
        <v>0</v>
      </c>
      <c r="AI451" s="27" t="s">
        <v>283</v>
      </c>
      <c r="AJ451" s="18">
        <f>IF(AN451=0,M451,0)</f>
        <v>0</v>
      </c>
      <c r="AK451" s="18">
        <f>IF(AN451=15,M451,0)</f>
        <v>0</v>
      </c>
      <c r="AL451" s="18">
        <f>IF(AN451=21,M451,0)</f>
        <v>0</v>
      </c>
      <c r="AN451" s="28">
        <v>15</v>
      </c>
      <c r="AO451" s="28">
        <f>J451*0.913854748603352</f>
        <v>0</v>
      </c>
      <c r="AP451" s="28">
        <f>J451*(1-0.913854748603352)</f>
        <v>0</v>
      </c>
      <c r="AQ451" s="29" t="s">
        <v>13</v>
      </c>
      <c r="AV451" s="28">
        <f>AW451+AX451</f>
        <v>0</v>
      </c>
      <c r="AW451" s="28">
        <f>I451*AO451</f>
        <v>0</v>
      </c>
      <c r="AX451" s="28">
        <f>I451*AP451</f>
        <v>0</v>
      </c>
      <c r="AY451" s="31" t="s">
        <v>1590</v>
      </c>
      <c r="AZ451" s="31" t="s">
        <v>1621</v>
      </c>
      <c r="BA451" s="27" t="s">
        <v>1628</v>
      </c>
      <c r="BC451" s="28">
        <f>AW451+AX451</f>
        <v>0</v>
      </c>
      <c r="BD451" s="28">
        <f>J451/(100-BE451)*100</f>
        <v>0</v>
      </c>
      <c r="BE451" s="28">
        <v>0</v>
      </c>
      <c r="BF451" s="28">
        <f>451</f>
        <v>451</v>
      </c>
      <c r="BH451" s="18">
        <f>I451*AO451</f>
        <v>0</v>
      </c>
      <c r="BI451" s="18">
        <f>I451*AP451</f>
        <v>0</v>
      </c>
      <c r="BJ451" s="18">
        <f>I451*J451</f>
        <v>0</v>
      </c>
      <c r="BK451" s="18" t="s">
        <v>1634</v>
      </c>
      <c r="BL451" s="28">
        <v>731</v>
      </c>
    </row>
    <row r="452" spans="1:15" ht="12.75">
      <c r="A452" s="82"/>
      <c r="B452" s="83"/>
      <c r="C452" s="83"/>
      <c r="D452" s="85" t="s">
        <v>8</v>
      </c>
      <c r="G452" s="86" t="s">
        <v>1416</v>
      </c>
      <c r="H452" s="83"/>
      <c r="I452" s="88">
        <v>2</v>
      </c>
      <c r="J452" s="83"/>
      <c r="K452" s="83"/>
      <c r="L452" s="83"/>
      <c r="M452" s="83"/>
      <c r="N452" s="80"/>
      <c r="O452" s="67"/>
    </row>
    <row r="453" spans="1:15" ht="12.75">
      <c r="A453" s="3"/>
      <c r="C453" s="12" t="s">
        <v>296</v>
      </c>
      <c r="D453" s="142" t="s">
        <v>869</v>
      </c>
      <c r="E453" s="143"/>
      <c r="F453" s="143"/>
      <c r="G453" s="143"/>
      <c r="H453" s="143"/>
      <c r="I453" s="143"/>
      <c r="J453" s="143"/>
      <c r="K453" s="143"/>
      <c r="L453" s="143"/>
      <c r="M453" s="143"/>
      <c r="N453" s="144"/>
      <c r="O453" s="3"/>
    </row>
    <row r="454" spans="1:64" ht="12.75">
      <c r="A454" s="94" t="s">
        <v>103</v>
      </c>
      <c r="B454" s="94" t="s">
        <v>283</v>
      </c>
      <c r="C454" s="94" t="s">
        <v>391</v>
      </c>
      <c r="D454" s="148" t="s">
        <v>890</v>
      </c>
      <c r="E454" s="149"/>
      <c r="F454" s="149"/>
      <c r="G454" s="150"/>
      <c r="H454" s="94" t="s">
        <v>1538</v>
      </c>
      <c r="I454" s="95">
        <v>4</v>
      </c>
      <c r="J454" s="95">
        <v>0</v>
      </c>
      <c r="K454" s="95">
        <f>I454*AO454</f>
        <v>0</v>
      </c>
      <c r="L454" s="95">
        <f>I454*AP454</f>
        <v>0</v>
      </c>
      <c r="M454" s="95">
        <f>I454*J454</f>
        <v>0</v>
      </c>
      <c r="N454" s="93" t="s">
        <v>1556</v>
      </c>
      <c r="O454" s="67"/>
      <c r="Z454" s="28">
        <f>IF(AQ454="5",BJ454,0)</f>
        <v>0</v>
      </c>
      <c r="AB454" s="28">
        <f>IF(AQ454="1",BH454,0)</f>
        <v>0</v>
      </c>
      <c r="AC454" s="28">
        <f>IF(AQ454="1",BI454,0)</f>
        <v>0</v>
      </c>
      <c r="AD454" s="28">
        <f>IF(AQ454="7",BH454,0)</f>
        <v>0</v>
      </c>
      <c r="AE454" s="28">
        <f>IF(AQ454="7",BI454,0)</f>
        <v>0</v>
      </c>
      <c r="AF454" s="28">
        <f>IF(AQ454="2",BH454,0)</f>
        <v>0</v>
      </c>
      <c r="AG454" s="28">
        <f>IF(AQ454="2",BI454,0)</f>
        <v>0</v>
      </c>
      <c r="AH454" s="28">
        <f>IF(AQ454="0",BJ454,0)</f>
        <v>0</v>
      </c>
      <c r="AI454" s="27" t="s">
        <v>283</v>
      </c>
      <c r="AJ454" s="20">
        <f>IF(AN454=0,M454,0)</f>
        <v>0</v>
      </c>
      <c r="AK454" s="20">
        <f>IF(AN454=15,M454,0)</f>
        <v>0</v>
      </c>
      <c r="AL454" s="20">
        <f>IF(AN454=21,M454,0)</f>
        <v>0</v>
      </c>
      <c r="AN454" s="28">
        <v>15</v>
      </c>
      <c r="AO454" s="28">
        <f>J454*1</f>
        <v>0</v>
      </c>
      <c r="AP454" s="28">
        <f>J454*(1-1)</f>
        <v>0</v>
      </c>
      <c r="AQ454" s="30" t="s">
        <v>13</v>
      </c>
      <c r="AV454" s="28">
        <f>AW454+AX454</f>
        <v>0</v>
      </c>
      <c r="AW454" s="28">
        <f>I454*AO454</f>
        <v>0</v>
      </c>
      <c r="AX454" s="28">
        <f>I454*AP454</f>
        <v>0</v>
      </c>
      <c r="AY454" s="31" t="s">
        <v>1590</v>
      </c>
      <c r="AZ454" s="31" t="s">
        <v>1621</v>
      </c>
      <c r="BA454" s="27" t="s">
        <v>1628</v>
      </c>
      <c r="BC454" s="28">
        <f>AW454+AX454</f>
        <v>0</v>
      </c>
      <c r="BD454" s="28">
        <f>J454/(100-BE454)*100</f>
        <v>0</v>
      </c>
      <c r="BE454" s="28">
        <v>0</v>
      </c>
      <c r="BF454" s="28">
        <f>454</f>
        <v>454</v>
      </c>
      <c r="BH454" s="20">
        <f>I454*AO454</f>
        <v>0</v>
      </c>
      <c r="BI454" s="20">
        <f>I454*AP454</f>
        <v>0</v>
      </c>
      <c r="BJ454" s="20">
        <f>I454*J454</f>
        <v>0</v>
      </c>
      <c r="BK454" s="20" t="s">
        <v>1635</v>
      </c>
      <c r="BL454" s="28">
        <v>731</v>
      </c>
    </row>
    <row r="455" spans="1:15" ht="12.75">
      <c r="A455" s="82"/>
      <c r="B455" s="83"/>
      <c r="C455" s="83"/>
      <c r="D455" s="85" t="s">
        <v>10</v>
      </c>
      <c r="G455" s="86" t="s">
        <v>1416</v>
      </c>
      <c r="H455" s="83"/>
      <c r="I455" s="88">
        <v>4</v>
      </c>
      <c r="J455" s="83"/>
      <c r="K455" s="83"/>
      <c r="L455" s="83"/>
      <c r="M455" s="83"/>
      <c r="N455" s="80"/>
      <c r="O455" s="67"/>
    </row>
    <row r="456" spans="1:15" ht="12.75">
      <c r="A456" s="3"/>
      <c r="C456" s="13" t="s">
        <v>302</v>
      </c>
      <c r="D456" s="145" t="s">
        <v>891</v>
      </c>
      <c r="E456" s="146"/>
      <c r="F456" s="146"/>
      <c r="G456" s="146"/>
      <c r="H456" s="146"/>
      <c r="I456" s="146"/>
      <c r="J456" s="146"/>
      <c r="K456" s="146"/>
      <c r="L456" s="146"/>
      <c r="M456" s="146"/>
      <c r="N456" s="147"/>
      <c r="O456" s="3"/>
    </row>
    <row r="457" spans="1:15" ht="12.75">
      <c r="A457" s="3"/>
      <c r="C457" s="12" t="s">
        <v>296</v>
      </c>
      <c r="D457" s="142" t="s">
        <v>869</v>
      </c>
      <c r="E457" s="143"/>
      <c r="F457" s="143"/>
      <c r="G457" s="143"/>
      <c r="H457" s="143"/>
      <c r="I457" s="143"/>
      <c r="J457" s="143"/>
      <c r="K457" s="143"/>
      <c r="L457" s="143"/>
      <c r="M457" s="143"/>
      <c r="N457" s="144"/>
      <c r="O457" s="3"/>
    </row>
    <row r="458" spans="1:64" ht="12.75">
      <c r="A458" s="81" t="s">
        <v>104</v>
      </c>
      <c r="B458" s="81" t="s">
        <v>283</v>
      </c>
      <c r="C458" s="81" t="s">
        <v>392</v>
      </c>
      <c r="D458" s="139" t="s">
        <v>892</v>
      </c>
      <c r="E458" s="134"/>
      <c r="F458" s="134"/>
      <c r="G458" s="140"/>
      <c r="H458" s="81" t="s">
        <v>1540</v>
      </c>
      <c r="I458" s="87">
        <v>79.68</v>
      </c>
      <c r="J458" s="87">
        <v>0</v>
      </c>
      <c r="K458" s="87">
        <f>I458*AO458</f>
        <v>0</v>
      </c>
      <c r="L458" s="87">
        <f>I458*AP458</f>
        <v>0</v>
      </c>
      <c r="M458" s="87">
        <f>I458*J458</f>
        <v>0</v>
      </c>
      <c r="N458" s="77" t="s">
        <v>1556</v>
      </c>
      <c r="O458" s="67"/>
      <c r="Z458" s="28">
        <f>IF(AQ458="5",BJ458,0)</f>
        <v>0</v>
      </c>
      <c r="AB458" s="28">
        <f>IF(AQ458="1",BH458,0)</f>
        <v>0</v>
      </c>
      <c r="AC458" s="28">
        <f>IF(AQ458="1",BI458,0)</f>
        <v>0</v>
      </c>
      <c r="AD458" s="28">
        <f>IF(AQ458="7",BH458,0)</f>
        <v>0</v>
      </c>
      <c r="AE458" s="28">
        <f>IF(AQ458="7",BI458,0)</f>
        <v>0</v>
      </c>
      <c r="AF458" s="28">
        <f>IF(AQ458="2",BH458,0)</f>
        <v>0</v>
      </c>
      <c r="AG458" s="28">
        <f>IF(AQ458="2",BI458,0)</f>
        <v>0</v>
      </c>
      <c r="AH458" s="28">
        <f>IF(AQ458="0",BJ458,0)</f>
        <v>0</v>
      </c>
      <c r="AI458" s="27" t="s">
        <v>283</v>
      </c>
      <c r="AJ458" s="18">
        <f>IF(AN458=0,M458,0)</f>
        <v>0</v>
      </c>
      <c r="AK458" s="18">
        <f>IF(AN458=15,M458,0)</f>
        <v>0</v>
      </c>
      <c r="AL458" s="18">
        <f>IF(AN458=21,M458,0)</f>
        <v>0</v>
      </c>
      <c r="AN458" s="28">
        <v>15</v>
      </c>
      <c r="AO458" s="28">
        <f>J458*0</f>
        <v>0</v>
      </c>
      <c r="AP458" s="28">
        <f>J458*(1-0)</f>
        <v>0</v>
      </c>
      <c r="AQ458" s="29" t="s">
        <v>11</v>
      </c>
      <c r="AV458" s="28">
        <f>AW458+AX458</f>
        <v>0</v>
      </c>
      <c r="AW458" s="28">
        <f>I458*AO458</f>
        <v>0</v>
      </c>
      <c r="AX458" s="28">
        <f>I458*AP458</f>
        <v>0</v>
      </c>
      <c r="AY458" s="31" t="s">
        <v>1590</v>
      </c>
      <c r="AZ458" s="31" t="s">
        <v>1621</v>
      </c>
      <c r="BA458" s="27" t="s">
        <v>1628</v>
      </c>
      <c r="BC458" s="28">
        <f>AW458+AX458</f>
        <v>0</v>
      </c>
      <c r="BD458" s="28">
        <f>J458/(100-BE458)*100</f>
        <v>0</v>
      </c>
      <c r="BE458" s="28">
        <v>0</v>
      </c>
      <c r="BF458" s="28">
        <f>458</f>
        <v>458</v>
      </c>
      <c r="BH458" s="18">
        <f>I458*AO458</f>
        <v>0</v>
      </c>
      <c r="BI458" s="18">
        <f>I458*AP458</f>
        <v>0</v>
      </c>
      <c r="BJ458" s="18">
        <f>I458*J458</f>
        <v>0</v>
      </c>
      <c r="BK458" s="18" t="s">
        <v>1634</v>
      </c>
      <c r="BL458" s="28">
        <v>731</v>
      </c>
    </row>
    <row r="459" spans="1:15" ht="12.75">
      <c r="A459" s="89"/>
      <c r="B459" s="90"/>
      <c r="C459" s="90"/>
      <c r="D459" s="84" t="s">
        <v>893</v>
      </c>
      <c r="G459" s="91"/>
      <c r="H459" s="90"/>
      <c r="I459" s="92">
        <v>79.68</v>
      </c>
      <c r="J459" s="90"/>
      <c r="K459" s="90"/>
      <c r="L459" s="90"/>
      <c r="M459" s="90"/>
      <c r="N459" s="79"/>
      <c r="O459" s="67"/>
    </row>
    <row r="460" spans="1:47" ht="12.75">
      <c r="A460" s="72"/>
      <c r="B460" s="73" t="s">
        <v>283</v>
      </c>
      <c r="C460" s="73" t="s">
        <v>393</v>
      </c>
      <c r="D460" s="130" t="s">
        <v>894</v>
      </c>
      <c r="E460" s="131"/>
      <c r="F460" s="131"/>
      <c r="G460" s="132"/>
      <c r="H460" s="72" t="s">
        <v>6</v>
      </c>
      <c r="I460" s="72" t="s">
        <v>6</v>
      </c>
      <c r="J460" s="72" t="s">
        <v>6</v>
      </c>
      <c r="K460" s="76">
        <f>SUM(K461:K524)</f>
        <v>0</v>
      </c>
      <c r="L460" s="76">
        <f>SUM(L461:L524)</f>
        <v>0</v>
      </c>
      <c r="M460" s="76">
        <f>SUM(M461:M524)</f>
        <v>0</v>
      </c>
      <c r="N460" s="71"/>
      <c r="O460" s="67"/>
      <c r="AI460" s="27" t="s">
        <v>283</v>
      </c>
      <c r="AS460" s="33">
        <f>SUM(AJ461:AJ524)</f>
        <v>0</v>
      </c>
      <c r="AT460" s="33">
        <f>SUM(AK461:AK524)</f>
        <v>0</v>
      </c>
      <c r="AU460" s="33">
        <f>SUM(AL461:AL524)</f>
        <v>0</v>
      </c>
    </row>
    <row r="461" spans="1:64" ht="12.75">
      <c r="A461" s="74" t="s">
        <v>105</v>
      </c>
      <c r="B461" s="74" t="s">
        <v>283</v>
      </c>
      <c r="C461" s="74" t="s">
        <v>394</v>
      </c>
      <c r="D461" s="133" t="s">
        <v>895</v>
      </c>
      <c r="E461" s="134"/>
      <c r="F461" s="134"/>
      <c r="G461" s="135"/>
      <c r="H461" s="74" t="s">
        <v>1535</v>
      </c>
      <c r="I461" s="75">
        <v>81.6795</v>
      </c>
      <c r="J461" s="75">
        <v>0</v>
      </c>
      <c r="K461" s="75">
        <f>I461*AO461</f>
        <v>0</v>
      </c>
      <c r="L461" s="75">
        <f>I461*AP461</f>
        <v>0</v>
      </c>
      <c r="M461" s="75">
        <f>I461*J461</f>
        <v>0</v>
      </c>
      <c r="N461" s="78" t="s">
        <v>1556</v>
      </c>
      <c r="O461" s="67"/>
      <c r="Z461" s="28">
        <f>IF(AQ461="5",BJ461,0)</f>
        <v>0</v>
      </c>
      <c r="AB461" s="28">
        <f>IF(AQ461="1",BH461,0)</f>
        <v>0</v>
      </c>
      <c r="AC461" s="28">
        <f>IF(AQ461="1",BI461,0)</f>
        <v>0</v>
      </c>
      <c r="AD461" s="28">
        <f>IF(AQ461="7",BH461,0)</f>
        <v>0</v>
      </c>
      <c r="AE461" s="28">
        <f>IF(AQ461="7",BI461,0)</f>
        <v>0</v>
      </c>
      <c r="AF461" s="28">
        <f>IF(AQ461="2",BH461,0)</f>
        <v>0</v>
      </c>
      <c r="AG461" s="28">
        <f>IF(AQ461="2",BI461,0)</f>
        <v>0</v>
      </c>
      <c r="AH461" s="28">
        <f>IF(AQ461="0",BJ461,0)</f>
        <v>0</v>
      </c>
      <c r="AI461" s="27" t="s">
        <v>283</v>
      </c>
      <c r="AJ461" s="18">
        <f>IF(AN461=0,M461,0)</f>
        <v>0</v>
      </c>
      <c r="AK461" s="18">
        <f>IF(AN461=15,M461,0)</f>
        <v>0</v>
      </c>
      <c r="AL461" s="18">
        <f>IF(AN461=21,M461,0)</f>
        <v>0</v>
      </c>
      <c r="AN461" s="28">
        <v>15</v>
      </c>
      <c r="AO461" s="28">
        <f>J461*0</f>
        <v>0</v>
      </c>
      <c r="AP461" s="28">
        <f>J461*(1-0)</f>
        <v>0</v>
      </c>
      <c r="AQ461" s="29" t="s">
        <v>13</v>
      </c>
      <c r="AV461" s="28">
        <f>AW461+AX461</f>
        <v>0</v>
      </c>
      <c r="AW461" s="28">
        <f>I461*AO461</f>
        <v>0</v>
      </c>
      <c r="AX461" s="28">
        <f>I461*AP461</f>
        <v>0</v>
      </c>
      <c r="AY461" s="31" t="s">
        <v>1591</v>
      </c>
      <c r="AZ461" s="31" t="s">
        <v>1622</v>
      </c>
      <c r="BA461" s="27" t="s">
        <v>1628</v>
      </c>
      <c r="BC461" s="28">
        <f>AW461+AX461</f>
        <v>0</v>
      </c>
      <c r="BD461" s="28">
        <f>J461/(100-BE461)*100</f>
        <v>0</v>
      </c>
      <c r="BE461" s="28">
        <v>0</v>
      </c>
      <c r="BF461" s="28">
        <f>461</f>
        <v>461</v>
      </c>
      <c r="BH461" s="18">
        <f>I461*AO461</f>
        <v>0</v>
      </c>
      <c r="BI461" s="18">
        <f>I461*AP461</f>
        <v>0</v>
      </c>
      <c r="BJ461" s="18">
        <f>I461*J461</f>
        <v>0</v>
      </c>
      <c r="BK461" s="18" t="s">
        <v>1634</v>
      </c>
      <c r="BL461" s="28">
        <v>762</v>
      </c>
    </row>
    <row r="462" spans="1:15" ht="25.5" customHeight="1">
      <c r="A462" s="3"/>
      <c r="D462" s="136" t="s">
        <v>896</v>
      </c>
      <c r="E462" s="137"/>
      <c r="F462" s="137"/>
      <c r="G462" s="137"/>
      <c r="H462" s="137"/>
      <c r="I462" s="137"/>
      <c r="J462" s="137"/>
      <c r="K462" s="137"/>
      <c r="L462" s="137"/>
      <c r="M462" s="137"/>
      <c r="N462" s="138"/>
      <c r="O462" s="3"/>
    </row>
    <row r="463" spans="1:15" ht="12.75">
      <c r="A463" s="89"/>
      <c r="B463" s="90"/>
      <c r="C463" s="90"/>
      <c r="D463" s="84" t="s">
        <v>897</v>
      </c>
      <c r="G463" s="91" t="s">
        <v>1417</v>
      </c>
      <c r="H463" s="90"/>
      <c r="I463" s="92">
        <v>64.833</v>
      </c>
      <c r="J463" s="90"/>
      <c r="K463" s="90"/>
      <c r="L463" s="90"/>
      <c r="M463" s="90"/>
      <c r="N463" s="79"/>
      <c r="O463" s="67"/>
    </row>
    <row r="464" spans="1:15" ht="12.75">
      <c r="A464" s="82"/>
      <c r="B464" s="83"/>
      <c r="C464" s="83"/>
      <c r="D464" s="85" t="s">
        <v>898</v>
      </c>
      <c r="G464" s="86" t="s">
        <v>1418</v>
      </c>
      <c r="H464" s="83"/>
      <c r="I464" s="88">
        <v>16.8465</v>
      </c>
      <c r="J464" s="83"/>
      <c r="K464" s="83"/>
      <c r="L464" s="83"/>
      <c r="M464" s="83"/>
      <c r="N464" s="80"/>
      <c r="O464" s="67"/>
    </row>
    <row r="465" spans="1:15" ht="12.75">
      <c r="A465" s="3"/>
      <c r="C465" s="13" t="s">
        <v>302</v>
      </c>
      <c r="D465" s="145" t="s">
        <v>899</v>
      </c>
      <c r="E465" s="146"/>
      <c r="F465" s="146"/>
      <c r="G465" s="146"/>
      <c r="H465" s="146"/>
      <c r="I465" s="146"/>
      <c r="J465" s="146"/>
      <c r="K465" s="146"/>
      <c r="L465" s="146"/>
      <c r="M465" s="146"/>
      <c r="N465" s="147"/>
      <c r="O465" s="3"/>
    </row>
    <row r="466" spans="1:15" ht="12.75">
      <c r="A466" s="3"/>
      <c r="C466" s="12" t="s">
        <v>296</v>
      </c>
      <c r="D466" s="142" t="s">
        <v>877</v>
      </c>
      <c r="E466" s="143"/>
      <c r="F466" s="143"/>
      <c r="G466" s="143"/>
      <c r="H466" s="143"/>
      <c r="I466" s="143"/>
      <c r="J466" s="143"/>
      <c r="K466" s="143"/>
      <c r="L466" s="143"/>
      <c r="M466" s="143"/>
      <c r="N466" s="144"/>
      <c r="O466" s="3"/>
    </row>
    <row r="467" spans="1:64" ht="12.75">
      <c r="A467" s="81" t="s">
        <v>106</v>
      </c>
      <c r="B467" s="81" t="s">
        <v>283</v>
      </c>
      <c r="C467" s="81" t="s">
        <v>395</v>
      </c>
      <c r="D467" s="139" t="s">
        <v>900</v>
      </c>
      <c r="E467" s="134"/>
      <c r="F467" s="134"/>
      <c r="G467" s="140"/>
      <c r="H467" s="81" t="s">
        <v>1535</v>
      </c>
      <c r="I467" s="87">
        <v>70.0955</v>
      </c>
      <c r="J467" s="87">
        <v>0</v>
      </c>
      <c r="K467" s="87">
        <f>I467*AO467</f>
        <v>0</v>
      </c>
      <c r="L467" s="87">
        <f>I467*AP467</f>
        <v>0</v>
      </c>
      <c r="M467" s="87">
        <f>I467*J467</f>
        <v>0</v>
      </c>
      <c r="N467" s="77" t="s">
        <v>1556</v>
      </c>
      <c r="O467" s="67"/>
      <c r="Z467" s="28">
        <f>IF(AQ467="5",BJ467,0)</f>
        <v>0</v>
      </c>
      <c r="AB467" s="28">
        <f>IF(AQ467="1",BH467,0)</f>
        <v>0</v>
      </c>
      <c r="AC467" s="28">
        <f>IF(AQ467="1",BI467,0)</f>
        <v>0</v>
      </c>
      <c r="AD467" s="28">
        <f>IF(AQ467="7",BH467,0)</f>
        <v>0</v>
      </c>
      <c r="AE467" s="28">
        <f>IF(AQ467="7",BI467,0)</f>
        <v>0</v>
      </c>
      <c r="AF467" s="28">
        <f>IF(AQ467="2",BH467,0)</f>
        <v>0</v>
      </c>
      <c r="AG467" s="28">
        <f>IF(AQ467="2",BI467,0)</f>
        <v>0</v>
      </c>
      <c r="AH467" s="28">
        <f>IF(AQ467="0",BJ467,0)</f>
        <v>0</v>
      </c>
      <c r="AI467" s="27" t="s">
        <v>283</v>
      </c>
      <c r="AJ467" s="18">
        <f>IF(AN467=0,M467,0)</f>
        <v>0</v>
      </c>
      <c r="AK467" s="18">
        <f>IF(AN467=15,M467,0)</f>
        <v>0</v>
      </c>
      <c r="AL467" s="18">
        <f>IF(AN467=21,M467,0)</f>
        <v>0</v>
      </c>
      <c r="AN467" s="28">
        <v>15</v>
      </c>
      <c r="AO467" s="28">
        <f>J467*0</f>
        <v>0</v>
      </c>
      <c r="AP467" s="28">
        <f>J467*(1-0)</f>
        <v>0</v>
      </c>
      <c r="AQ467" s="29" t="s">
        <v>13</v>
      </c>
      <c r="AV467" s="28">
        <f>AW467+AX467</f>
        <v>0</v>
      </c>
      <c r="AW467" s="28">
        <f>I467*AO467</f>
        <v>0</v>
      </c>
      <c r="AX467" s="28">
        <f>I467*AP467</f>
        <v>0</v>
      </c>
      <c r="AY467" s="31" t="s">
        <v>1591</v>
      </c>
      <c r="AZ467" s="31" t="s">
        <v>1622</v>
      </c>
      <c r="BA467" s="27" t="s">
        <v>1628</v>
      </c>
      <c r="BC467" s="28">
        <f>AW467+AX467</f>
        <v>0</v>
      </c>
      <c r="BD467" s="28">
        <f>J467/(100-BE467)*100</f>
        <v>0</v>
      </c>
      <c r="BE467" s="28">
        <v>0</v>
      </c>
      <c r="BF467" s="28">
        <f>467</f>
        <v>467</v>
      </c>
      <c r="BH467" s="18">
        <f>I467*AO467</f>
        <v>0</v>
      </c>
      <c r="BI467" s="18">
        <f>I467*AP467</f>
        <v>0</v>
      </c>
      <c r="BJ467" s="18">
        <f>I467*J467</f>
        <v>0</v>
      </c>
      <c r="BK467" s="18" t="s">
        <v>1634</v>
      </c>
      <c r="BL467" s="28">
        <v>762</v>
      </c>
    </row>
    <row r="468" spans="1:15" ht="12.75">
      <c r="A468" s="89"/>
      <c r="B468" s="90"/>
      <c r="C468" s="90"/>
      <c r="D468" s="84" t="s">
        <v>771</v>
      </c>
      <c r="G468" s="91" t="s">
        <v>1417</v>
      </c>
      <c r="H468" s="90"/>
      <c r="I468" s="92">
        <v>56.165</v>
      </c>
      <c r="J468" s="90"/>
      <c r="K468" s="90"/>
      <c r="L468" s="90"/>
      <c r="M468" s="90"/>
      <c r="N468" s="79"/>
      <c r="O468" s="67"/>
    </row>
    <row r="469" spans="1:15" ht="12.75">
      <c r="A469" s="82"/>
      <c r="B469" s="83"/>
      <c r="C469" s="83"/>
      <c r="D469" s="85" t="s">
        <v>772</v>
      </c>
      <c r="G469" s="86" t="s">
        <v>1418</v>
      </c>
      <c r="H469" s="83"/>
      <c r="I469" s="88">
        <v>13.9305</v>
      </c>
      <c r="J469" s="83"/>
      <c r="K469" s="83"/>
      <c r="L469" s="83"/>
      <c r="M469" s="83"/>
      <c r="N469" s="80"/>
      <c r="O469" s="67"/>
    </row>
    <row r="470" spans="1:15" ht="12.75">
      <c r="A470" s="3"/>
      <c r="C470" s="12" t="s">
        <v>296</v>
      </c>
      <c r="D470" s="142" t="s">
        <v>622</v>
      </c>
      <c r="E470" s="143"/>
      <c r="F470" s="143"/>
      <c r="G470" s="143"/>
      <c r="H470" s="143"/>
      <c r="I470" s="143"/>
      <c r="J470" s="143"/>
      <c r="K470" s="143"/>
      <c r="L470" s="143"/>
      <c r="M470" s="143"/>
      <c r="N470" s="144"/>
      <c r="O470" s="3"/>
    </row>
    <row r="471" spans="1:64" ht="12.75">
      <c r="A471" s="94" t="s">
        <v>107</v>
      </c>
      <c r="B471" s="94" t="s">
        <v>283</v>
      </c>
      <c r="C471" s="94" t="s">
        <v>396</v>
      </c>
      <c r="D471" s="148" t="s">
        <v>901</v>
      </c>
      <c r="E471" s="149"/>
      <c r="F471" s="149"/>
      <c r="G471" s="150"/>
      <c r="H471" s="94" t="s">
        <v>1535</v>
      </c>
      <c r="I471" s="95">
        <v>73.60027</v>
      </c>
      <c r="J471" s="95">
        <v>0</v>
      </c>
      <c r="K471" s="95">
        <f>I471*AO471</f>
        <v>0</v>
      </c>
      <c r="L471" s="95">
        <f>I471*AP471</f>
        <v>0</v>
      </c>
      <c r="M471" s="95">
        <f>I471*J471</f>
        <v>0</v>
      </c>
      <c r="N471" s="93" t="s">
        <v>1556</v>
      </c>
      <c r="O471" s="67"/>
      <c r="Z471" s="28">
        <f>IF(AQ471="5",BJ471,0)</f>
        <v>0</v>
      </c>
      <c r="AB471" s="28">
        <f>IF(AQ471="1",BH471,0)</f>
        <v>0</v>
      </c>
      <c r="AC471" s="28">
        <f>IF(AQ471="1",BI471,0)</f>
        <v>0</v>
      </c>
      <c r="AD471" s="28">
        <f>IF(AQ471="7",BH471,0)</f>
        <v>0</v>
      </c>
      <c r="AE471" s="28">
        <f>IF(AQ471="7",BI471,0)</f>
        <v>0</v>
      </c>
      <c r="AF471" s="28">
        <f>IF(AQ471="2",BH471,0)</f>
        <v>0</v>
      </c>
      <c r="AG471" s="28">
        <f>IF(AQ471="2",BI471,0)</f>
        <v>0</v>
      </c>
      <c r="AH471" s="28">
        <f>IF(AQ471="0",BJ471,0)</f>
        <v>0</v>
      </c>
      <c r="AI471" s="27" t="s">
        <v>283</v>
      </c>
      <c r="AJ471" s="20">
        <f>IF(AN471=0,M471,0)</f>
        <v>0</v>
      </c>
      <c r="AK471" s="20">
        <f>IF(AN471=15,M471,0)</f>
        <v>0</v>
      </c>
      <c r="AL471" s="20">
        <f>IF(AN471=21,M471,0)</f>
        <v>0</v>
      </c>
      <c r="AN471" s="28">
        <v>15</v>
      </c>
      <c r="AO471" s="28">
        <f>J471*1</f>
        <v>0</v>
      </c>
      <c r="AP471" s="28">
        <f>J471*(1-1)</f>
        <v>0</v>
      </c>
      <c r="AQ471" s="30" t="s">
        <v>13</v>
      </c>
      <c r="AV471" s="28">
        <f>AW471+AX471</f>
        <v>0</v>
      </c>
      <c r="AW471" s="28">
        <f>I471*AO471</f>
        <v>0</v>
      </c>
      <c r="AX471" s="28">
        <f>I471*AP471</f>
        <v>0</v>
      </c>
      <c r="AY471" s="31" t="s">
        <v>1591</v>
      </c>
      <c r="AZ471" s="31" t="s">
        <v>1622</v>
      </c>
      <c r="BA471" s="27" t="s">
        <v>1628</v>
      </c>
      <c r="BC471" s="28">
        <f>AW471+AX471</f>
        <v>0</v>
      </c>
      <c r="BD471" s="28">
        <f>J471/(100-BE471)*100</f>
        <v>0</v>
      </c>
      <c r="BE471" s="28">
        <v>0</v>
      </c>
      <c r="BF471" s="28">
        <f>471</f>
        <v>471</v>
      </c>
      <c r="BH471" s="20">
        <f>I471*AO471</f>
        <v>0</v>
      </c>
      <c r="BI471" s="20">
        <f>I471*AP471</f>
        <v>0</v>
      </c>
      <c r="BJ471" s="20">
        <f>I471*J471</f>
        <v>0</v>
      </c>
      <c r="BK471" s="20" t="s">
        <v>1635</v>
      </c>
      <c r="BL471" s="28">
        <v>762</v>
      </c>
    </row>
    <row r="472" spans="1:15" ht="12.75">
      <c r="A472" s="89"/>
      <c r="B472" s="90"/>
      <c r="C472" s="90"/>
      <c r="D472" s="84" t="s">
        <v>771</v>
      </c>
      <c r="G472" s="91" t="s">
        <v>1417</v>
      </c>
      <c r="H472" s="90"/>
      <c r="I472" s="92">
        <v>56.165</v>
      </c>
      <c r="J472" s="90"/>
      <c r="K472" s="90"/>
      <c r="L472" s="90"/>
      <c r="M472" s="90"/>
      <c r="N472" s="79"/>
      <c r="O472" s="67"/>
    </row>
    <row r="473" spans="1:15" ht="12.75">
      <c r="A473" s="89"/>
      <c r="B473" s="90"/>
      <c r="C473" s="90"/>
      <c r="D473" s="84" t="s">
        <v>772</v>
      </c>
      <c r="G473" s="91" t="s">
        <v>1418</v>
      </c>
      <c r="H473" s="90"/>
      <c r="I473" s="92">
        <v>13.9305</v>
      </c>
      <c r="J473" s="90"/>
      <c r="K473" s="90"/>
      <c r="L473" s="90"/>
      <c r="M473" s="90"/>
      <c r="N473" s="79"/>
      <c r="O473" s="67"/>
    </row>
    <row r="474" spans="1:15" ht="12.75">
      <c r="A474" s="82"/>
      <c r="B474" s="83"/>
      <c r="C474" s="83"/>
      <c r="D474" s="85" t="s">
        <v>902</v>
      </c>
      <c r="G474" s="86"/>
      <c r="H474" s="83"/>
      <c r="I474" s="88">
        <v>3.50477</v>
      </c>
      <c r="J474" s="83"/>
      <c r="K474" s="83"/>
      <c r="L474" s="83"/>
      <c r="M474" s="83"/>
      <c r="N474" s="80"/>
      <c r="O474" s="67"/>
    </row>
    <row r="475" spans="1:15" ht="12.75">
      <c r="A475" s="3"/>
      <c r="C475" s="13" t="s">
        <v>302</v>
      </c>
      <c r="D475" s="145" t="s">
        <v>903</v>
      </c>
      <c r="E475" s="146"/>
      <c r="F475" s="146"/>
      <c r="G475" s="146"/>
      <c r="H475" s="146"/>
      <c r="I475" s="146"/>
      <c r="J475" s="146"/>
      <c r="K475" s="146"/>
      <c r="L475" s="146"/>
      <c r="M475" s="146"/>
      <c r="N475" s="147"/>
      <c r="O475" s="3"/>
    </row>
    <row r="476" spans="1:15" ht="12.75">
      <c r="A476" s="3"/>
      <c r="C476" s="12" t="s">
        <v>296</v>
      </c>
      <c r="D476" s="142" t="s">
        <v>622</v>
      </c>
      <c r="E476" s="143"/>
      <c r="F476" s="143"/>
      <c r="G476" s="143"/>
      <c r="H476" s="143"/>
      <c r="I476" s="143"/>
      <c r="J476" s="143"/>
      <c r="K476" s="143"/>
      <c r="L476" s="143"/>
      <c r="M476" s="143"/>
      <c r="N476" s="144"/>
      <c r="O476" s="3"/>
    </row>
    <row r="477" spans="1:64" ht="12.75">
      <c r="A477" s="74" t="s">
        <v>108</v>
      </c>
      <c r="B477" s="74" t="s">
        <v>283</v>
      </c>
      <c r="C477" s="74" t="s">
        <v>397</v>
      </c>
      <c r="D477" s="133" t="s">
        <v>904</v>
      </c>
      <c r="E477" s="134"/>
      <c r="F477" s="134"/>
      <c r="G477" s="135"/>
      <c r="H477" s="74" t="s">
        <v>1539</v>
      </c>
      <c r="I477" s="75">
        <v>353.73</v>
      </c>
      <c r="J477" s="75">
        <v>0</v>
      </c>
      <c r="K477" s="75">
        <f>I477*AO477</f>
        <v>0</v>
      </c>
      <c r="L477" s="75">
        <f>I477*AP477</f>
        <v>0</v>
      </c>
      <c r="M477" s="75">
        <f>I477*J477</f>
        <v>0</v>
      </c>
      <c r="N477" s="78" t="s">
        <v>1556</v>
      </c>
      <c r="O477" s="67"/>
      <c r="Z477" s="28">
        <f>IF(AQ477="5",BJ477,0)</f>
        <v>0</v>
      </c>
      <c r="AB477" s="28">
        <f>IF(AQ477="1",BH477,0)</f>
        <v>0</v>
      </c>
      <c r="AC477" s="28">
        <f>IF(AQ477="1",BI477,0)</f>
        <v>0</v>
      </c>
      <c r="AD477" s="28">
        <f>IF(AQ477="7",BH477,0)</f>
        <v>0</v>
      </c>
      <c r="AE477" s="28">
        <f>IF(AQ477="7",BI477,0)</f>
        <v>0</v>
      </c>
      <c r="AF477" s="28">
        <f>IF(AQ477="2",BH477,0)</f>
        <v>0</v>
      </c>
      <c r="AG477" s="28">
        <f>IF(AQ477="2",BI477,0)</f>
        <v>0</v>
      </c>
      <c r="AH477" s="28">
        <f>IF(AQ477="0",BJ477,0)</f>
        <v>0</v>
      </c>
      <c r="AI477" s="27" t="s">
        <v>283</v>
      </c>
      <c r="AJ477" s="18">
        <f>IF(AN477=0,M477,0)</f>
        <v>0</v>
      </c>
      <c r="AK477" s="18">
        <f>IF(AN477=15,M477,0)</f>
        <v>0</v>
      </c>
      <c r="AL477" s="18">
        <f>IF(AN477=21,M477,0)</f>
        <v>0</v>
      </c>
      <c r="AN477" s="28">
        <v>15</v>
      </c>
      <c r="AO477" s="28">
        <f>J477*0.038102187160208</f>
        <v>0</v>
      </c>
      <c r="AP477" s="28">
        <f>J477*(1-0.038102187160208)</f>
        <v>0</v>
      </c>
      <c r="AQ477" s="29" t="s">
        <v>13</v>
      </c>
      <c r="AV477" s="28">
        <f>AW477+AX477</f>
        <v>0</v>
      </c>
      <c r="AW477" s="28">
        <f>I477*AO477</f>
        <v>0</v>
      </c>
      <c r="AX477" s="28">
        <f>I477*AP477</f>
        <v>0</v>
      </c>
      <c r="AY477" s="31" t="s">
        <v>1591</v>
      </c>
      <c r="AZ477" s="31" t="s">
        <v>1622</v>
      </c>
      <c r="BA477" s="27" t="s">
        <v>1628</v>
      </c>
      <c r="BC477" s="28">
        <f>AW477+AX477</f>
        <v>0</v>
      </c>
      <c r="BD477" s="28">
        <f>J477/(100-BE477)*100</f>
        <v>0</v>
      </c>
      <c r="BE477" s="28">
        <v>0</v>
      </c>
      <c r="BF477" s="28">
        <f>477</f>
        <v>477</v>
      </c>
      <c r="BH477" s="18">
        <f>I477*AO477</f>
        <v>0</v>
      </c>
      <c r="BI477" s="18">
        <f>I477*AP477</f>
        <v>0</v>
      </c>
      <c r="BJ477" s="18">
        <f>I477*J477</f>
        <v>0</v>
      </c>
      <c r="BK477" s="18" t="s">
        <v>1634</v>
      </c>
      <c r="BL477" s="28">
        <v>762</v>
      </c>
    </row>
    <row r="478" spans="1:15" ht="12.75">
      <c r="A478" s="3"/>
      <c r="D478" s="136" t="s">
        <v>905</v>
      </c>
      <c r="E478" s="137"/>
      <c r="F478" s="137"/>
      <c r="G478" s="137"/>
      <c r="H478" s="137"/>
      <c r="I478" s="137"/>
      <c r="J478" s="137"/>
      <c r="K478" s="137"/>
      <c r="L478" s="137"/>
      <c r="M478" s="137"/>
      <c r="N478" s="138"/>
      <c r="O478" s="3"/>
    </row>
    <row r="479" spans="1:15" ht="12.75">
      <c r="A479" s="89"/>
      <c r="B479" s="90"/>
      <c r="C479" s="90"/>
      <c r="D479" s="84" t="s">
        <v>906</v>
      </c>
      <c r="G479" s="91" t="s">
        <v>1419</v>
      </c>
      <c r="H479" s="90"/>
      <c r="I479" s="92">
        <v>108.63</v>
      </c>
      <c r="J479" s="90"/>
      <c r="K479" s="90"/>
      <c r="L479" s="90"/>
      <c r="M479" s="90"/>
      <c r="N479" s="79"/>
      <c r="O479" s="67"/>
    </row>
    <row r="480" spans="1:15" ht="12.75">
      <c r="A480" s="89"/>
      <c r="B480" s="90"/>
      <c r="C480" s="90"/>
      <c r="D480" s="84" t="s">
        <v>907</v>
      </c>
      <c r="G480" s="91" t="s">
        <v>1419</v>
      </c>
      <c r="H480" s="90"/>
      <c r="I480" s="92">
        <v>26</v>
      </c>
      <c r="J480" s="90"/>
      <c r="K480" s="90"/>
      <c r="L480" s="90"/>
      <c r="M480" s="90"/>
      <c r="N480" s="79"/>
      <c r="O480" s="67"/>
    </row>
    <row r="481" spans="1:15" ht="12.75">
      <c r="A481" s="89"/>
      <c r="B481" s="90"/>
      <c r="C481" s="90"/>
      <c r="D481" s="84" t="s">
        <v>908</v>
      </c>
      <c r="G481" s="91" t="s">
        <v>1419</v>
      </c>
      <c r="H481" s="90"/>
      <c r="I481" s="92">
        <v>161.2</v>
      </c>
      <c r="J481" s="90"/>
      <c r="K481" s="90"/>
      <c r="L481" s="90"/>
      <c r="M481" s="90"/>
      <c r="N481" s="79"/>
      <c r="O481" s="67"/>
    </row>
    <row r="482" spans="1:15" ht="12.75">
      <c r="A482" s="82"/>
      <c r="B482" s="83"/>
      <c r="C482" s="83"/>
      <c r="D482" s="85" t="s">
        <v>909</v>
      </c>
      <c r="G482" s="86" t="s">
        <v>1419</v>
      </c>
      <c r="H482" s="83"/>
      <c r="I482" s="88">
        <v>57.9</v>
      </c>
      <c r="J482" s="83"/>
      <c r="K482" s="83"/>
      <c r="L482" s="83"/>
      <c r="M482" s="83"/>
      <c r="N482" s="80"/>
      <c r="O482" s="67"/>
    </row>
    <row r="483" spans="1:15" ht="12.75">
      <c r="A483" s="3"/>
      <c r="C483" s="13" t="s">
        <v>302</v>
      </c>
      <c r="D483" s="145" t="s">
        <v>910</v>
      </c>
      <c r="E483" s="146"/>
      <c r="F483" s="146"/>
      <c r="G483" s="146"/>
      <c r="H483" s="146"/>
      <c r="I483" s="146"/>
      <c r="J483" s="146"/>
      <c r="K483" s="146"/>
      <c r="L483" s="146"/>
      <c r="M483" s="146"/>
      <c r="N483" s="147"/>
      <c r="O483" s="3"/>
    </row>
    <row r="484" spans="1:15" ht="12.75">
      <c r="A484" s="3"/>
      <c r="C484" s="12" t="s">
        <v>296</v>
      </c>
      <c r="D484" s="142" t="s">
        <v>622</v>
      </c>
      <c r="E484" s="143"/>
      <c r="F484" s="143"/>
      <c r="G484" s="143"/>
      <c r="H484" s="143"/>
      <c r="I484" s="143"/>
      <c r="J484" s="143"/>
      <c r="K484" s="143"/>
      <c r="L484" s="143"/>
      <c r="M484" s="143"/>
      <c r="N484" s="144"/>
      <c r="O484" s="3"/>
    </row>
    <row r="485" spans="1:64" ht="12.75">
      <c r="A485" s="94" t="s">
        <v>109</v>
      </c>
      <c r="B485" s="94" t="s">
        <v>283</v>
      </c>
      <c r="C485" s="94" t="s">
        <v>398</v>
      </c>
      <c r="D485" s="148" t="s">
        <v>911</v>
      </c>
      <c r="E485" s="149"/>
      <c r="F485" s="149"/>
      <c r="G485" s="150"/>
      <c r="H485" s="94" t="s">
        <v>1539</v>
      </c>
      <c r="I485" s="95">
        <v>389.103</v>
      </c>
      <c r="J485" s="95">
        <v>0</v>
      </c>
      <c r="K485" s="95">
        <f>I485*AO485</f>
        <v>0</v>
      </c>
      <c r="L485" s="95">
        <f>I485*AP485</f>
        <v>0</v>
      </c>
      <c r="M485" s="95">
        <f>I485*J485</f>
        <v>0</v>
      </c>
      <c r="N485" s="93" t="s">
        <v>1556</v>
      </c>
      <c r="O485" s="67"/>
      <c r="Z485" s="28">
        <f>IF(AQ485="5",BJ485,0)</f>
        <v>0</v>
      </c>
      <c r="AB485" s="28">
        <f>IF(AQ485="1",BH485,0)</f>
        <v>0</v>
      </c>
      <c r="AC485" s="28">
        <f>IF(AQ485="1",BI485,0)</f>
        <v>0</v>
      </c>
      <c r="AD485" s="28">
        <f>IF(AQ485="7",BH485,0)</f>
        <v>0</v>
      </c>
      <c r="AE485" s="28">
        <f>IF(AQ485="7",BI485,0)</f>
        <v>0</v>
      </c>
      <c r="AF485" s="28">
        <f>IF(AQ485="2",BH485,0)</f>
        <v>0</v>
      </c>
      <c r="AG485" s="28">
        <f>IF(AQ485="2",BI485,0)</f>
        <v>0</v>
      </c>
      <c r="AH485" s="28">
        <f>IF(AQ485="0",BJ485,0)</f>
        <v>0</v>
      </c>
      <c r="AI485" s="27" t="s">
        <v>283</v>
      </c>
      <c r="AJ485" s="20">
        <f>IF(AN485=0,M485,0)</f>
        <v>0</v>
      </c>
      <c r="AK485" s="20">
        <f>IF(AN485=15,M485,0)</f>
        <v>0</v>
      </c>
      <c r="AL485" s="20">
        <f>IF(AN485=21,M485,0)</f>
        <v>0</v>
      </c>
      <c r="AN485" s="28">
        <v>15</v>
      </c>
      <c r="AO485" s="28">
        <f>J485*1</f>
        <v>0</v>
      </c>
      <c r="AP485" s="28">
        <f>J485*(1-1)</f>
        <v>0</v>
      </c>
      <c r="AQ485" s="30" t="s">
        <v>13</v>
      </c>
      <c r="AV485" s="28">
        <f>AW485+AX485</f>
        <v>0</v>
      </c>
      <c r="AW485" s="28">
        <f>I485*AO485</f>
        <v>0</v>
      </c>
      <c r="AX485" s="28">
        <f>I485*AP485</f>
        <v>0</v>
      </c>
      <c r="AY485" s="31" t="s">
        <v>1591</v>
      </c>
      <c r="AZ485" s="31" t="s">
        <v>1622</v>
      </c>
      <c r="BA485" s="27" t="s">
        <v>1628</v>
      </c>
      <c r="BC485" s="28">
        <f>AW485+AX485</f>
        <v>0</v>
      </c>
      <c r="BD485" s="28">
        <f>J485/(100-BE485)*100</f>
        <v>0</v>
      </c>
      <c r="BE485" s="28">
        <v>0</v>
      </c>
      <c r="BF485" s="28">
        <f>485</f>
        <v>485</v>
      </c>
      <c r="BH485" s="20">
        <f>I485*AO485</f>
        <v>0</v>
      </c>
      <c r="BI485" s="20">
        <f>I485*AP485</f>
        <v>0</v>
      </c>
      <c r="BJ485" s="20">
        <f>I485*J485</f>
        <v>0</v>
      </c>
      <c r="BK485" s="20" t="s">
        <v>1635</v>
      </c>
      <c r="BL485" s="28">
        <v>762</v>
      </c>
    </row>
    <row r="486" spans="1:15" ht="12.75">
      <c r="A486" s="89"/>
      <c r="B486" s="90"/>
      <c r="C486" s="90"/>
      <c r="D486" s="84" t="s">
        <v>912</v>
      </c>
      <c r="G486" s="91"/>
      <c r="H486" s="90"/>
      <c r="I486" s="92">
        <v>353.73</v>
      </c>
      <c r="J486" s="90"/>
      <c r="K486" s="90"/>
      <c r="L486" s="90"/>
      <c r="M486" s="90"/>
      <c r="N486" s="79"/>
      <c r="O486" s="67"/>
    </row>
    <row r="487" spans="1:15" ht="12.75">
      <c r="A487" s="82"/>
      <c r="B487" s="83"/>
      <c r="C487" s="83"/>
      <c r="D487" s="85" t="s">
        <v>913</v>
      </c>
      <c r="G487" s="86"/>
      <c r="H487" s="83"/>
      <c r="I487" s="88">
        <v>35.373</v>
      </c>
      <c r="J487" s="83"/>
      <c r="K487" s="83"/>
      <c r="L487" s="83"/>
      <c r="M487" s="83"/>
      <c r="N487" s="80"/>
      <c r="O487" s="67"/>
    </row>
    <row r="488" spans="1:15" ht="12.75">
      <c r="A488" s="3"/>
      <c r="C488" s="12" t="s">
        <v>296</v>
      </c>
      <c r="D488" s="142" t="s">
        <v>622</v>
      </c>
      <c r="E488" s="143"/>
      <c r="F488" s="143"/>
      <c r="G488" s="143"/>
      <c r="H488" s="143"/>
      <c r="I488" s="143"/>
      <c r="J488" s="143"/>
      <c r="K488" s="143"/>
      <c r="L488" s="143"/>
      <c r="M488" s="143"/>
      <c r="N488" s="144"/>
      <c r="O488" s="3"/>
    </row>
    <row r="489" spans="1:64" ht="12.75">
      <c r="A489" s="81" t="s">
        <v>110</v>
      </c>
      <c r="B489" s="81" t="s">
        <v>283</v>
      </c>
      <c r="C489" s="81" t="s">
        <v>399</v>
      </c>
      <c r="D489" s="139" t="s">
        <v>914</v>
      </c>
      <c r="E489" s="134"/>
      <c r="F489" s="134"/>
      <c r="G489" s="140"/>
      <c r="H489" s="81" t="s">
        <v>1536</v>
      </c>
      <c r="I489" s="87">
        <v>1.13194</v>
      </c>
      <c r="J489" s="87">
        <v>0</v>
      </c>
      <c r="K489" s="87">
        <f>I489*AO489</f>
        <v>0</v>
      </c>
      <c r="L489" s="87">
        <f>I489*AP489</f>
        <v>0</v>
      </c>
      <c r="M489" s="87">
        <f>I489*J489</f>
        <v>0</v>
      </c>
      <c r="N489" s="77" t="s">
        <v>1556</v>
      </c>
      <c r="O489" s="67"/>
      <c r="Z489" s="28">
        <f>IF(AQ489="5",BJ489,0)</f>
        <v>0</v>
      </c>
      <c r="AB489" s="28">
        <f>IF(AQ489="1",BH489,0)</f>
        <v>0</v>
      </c>
      <c r="AC489" s="28">
        <f>IF(AQ489="1",BI489,0)</f>
        <v>0</v>
      </c>
      <c r="AD489" s="28">
        <f>IF(AQ489="7",BH489,0)</f>
        <v>0</v>
      </c>
      <c r="AE489" s="28">
        <f>IF(AQ489="7",BI489,0)</f>
        <v>0</v>
      </c>
      <c r="AF489" s="28">
        <f>IF(AQ489="2",BH489,0)</f>
        <v>0</v>
      </c>
      <c r="AG489" s="28">
        <f>IF(AQ489="2",BI489,0)</f>
        <v>0</v>
      </c>
      <c r="AH489" s="28">
        <f>IF(AQ489="0",BJ489,0)</f>
        <v>0</v>
      </c>
      <c r="AI489" s="27" t="s">
        <v>283</v>
      </c>
      <c r="AJ489" s="18">
        <f>IF(AN489=0,M489,0)</f>
        <v>0</v>
      </c>
      <c r="AK489" s="18">
        <f>IF(AN489=15,M489,0)</f>
        <v>0</v>
      </c>
      <c r="AL489" s="18">
        <f>IF(AN489=21,M489,0)</f>
        <v>0</v>
      </c>
      <c r="AN489" s="28">
        <v>15</v>
      </c>
      <c r="AO489" s="28">
        <f>J489*1.00000312746421</f>
        <v>0</v>
      </c>
      <c r="AP489" s="28">
        <f>J489*(1-1.00000312746421)</f>
        <v>0</v>
      </c>
      <c r="AQ489" s="29" t="s">
        <v>13</v>
      </c>
      <c r="AV489" s="28">
        <f>AW489+AX489</f>
        <v>0</v>
      </c>
      <c r="AW489" s="28">
        <f>I489*AO489</f>
        <v>0</v>
      </c>
      <c r="AX489" s="28">
        <f>I489*AP489</f>
        <v>0</v>
      </c>
      <c r="AY489" s="31" t="s">
        <v>1591</v>
      </c>
      <c r="AZ489" s="31" t="s">
        <v>1622</v>
      </c>
      <c r="BA489" s="27" t="s">
        <v>1628</v>
      </c>
      <c r="BC489" s="28">
        <f>AW489+AX489</f>
        <v>0</v>
      </c>
      <c r="BD489" s="28">
        <f>J489/(100-BE489)*100</f>
        <v>0</v>
      </c>
      <c r="BE489" s="28">
        <v>0</v>
      </c>
      <c r="BF489" s="28">
        <f>489</f>
        <v>489</v>
      </c>
      <c r="BH489" s="18">
        <f>I489*AO489</f>
        <v>0</v>
      </c>
      <c r="BI489" s="18">
        <f>I489*AP489</f>
        <v>0</v>
      </c>
      <c r="BJ489" s="18">
        <f>I489*J489</f>
        <v>0</v>
      </c>
      <c r="BK489" s="18" t="s">
        <v>1634</v>
      </c>
      <c r="BL489" s="28">
        <v>762</v>
      </c>
    </row>
    <row r="490" spans="1:15" ht="12.75">
      <c r="A490" s="82"/>
      <c r="B490" s="83"/>
      <c r="C490" s="83"/>
      <c r="D490" s="85" t="s">
        <v>915</v>
      </c>
      <c r="G490" s="86" t="s">
        <v>1383</v>
      </c>
      <c r="H490" s="83"/>
      <c r="I490" s="88">
        <v>1.13194</v>
      </c>
      <c r="J490" s="83"/>
      <c r="K490" s="83"/>
      <c r="L490" s="83"/>
      <c r="M490" s="83"/>
      <c r="N490" s="80"/>
      <c r="O490" s="67"/>
    </row>
    <row r="491" spans="1:15" ht="12.75">
      <c r="A491" s="3"/>
      <c r="C491" s="13" t="s">
        <v>302</v>
      </c>
      <c r="D491" s="145" t="s">
        <v>916</v>
      </c>
      <c r="E491" s="146"/>
      <c r="F491" s="146"/>
      <c r="G491" s="146"/>
      <c r="H491" s="146"/>
      <c r="I491" s="146"/>
      <c r="J491" s="146"/>
      <c r="K491" s="146"/>
      <c r="L491" s="146"/>
      <c r="M491" s="146"/>
      <c r="N491" s="147"/>
      <c r="O491" s="3"/>
    </row>
    <row r="492" spans="1:64" ht="12.75">
      <c r="A492" s="81" t="s">
        <v>111</v>
      </c>
      <c r="B492" s="81" t="s">
        <v>283</v>
      </c>
      <c r="C492" s="81" t="s">
        <v>400</v>
      </c>
      <c r="D492" s="139" t="s">
        <v>917</v>
      </c>
      <c r="E492" s="134"/>
      <c r="F492" s="134"/>
      <c r="G492" s="140"/>
      <c r="H492" s="81" t="s">
        <v>1538</v>
      </c>
      <c r="I492" s="87">
        <v>33</v>
      </c>
      <c r="J492" s="87">
        <v>0</v>
      </c>
      <c r="K492" s="87">
        <f>I492*AO492</f>
        <v>0</v>
      </c>
      <c r="L492" s="87">
        <f>I492*AP492</f>
        <v>0</v>
      </c>
      <c r="M492" s="87">
        <f>I492*J492</f>
        <v>0</v>
      </c>
      <c r="N492" s="77" t="s">
        <v>1555</v>
      </c>
      <c r="O492" s="67"/>
      <c r="Z492" s="28">
        <f>IF(AQ492="5",BJ492,0)</f>
        <v>0</v>
      </c>
      <c r="AB492" s="28">
        <f>IF(AQ492="1",BH492,0)</f>
        <v>0</v>
      </c>
      <c r="AC492" s="28">
        <f>IF(AQ492="1",BI492,0)</f>
        <v>0</v>
      </c>
      <c r="AD492" s="28">
        <f>IF(AQ492="7",BH492,0)</f>
        <v>0</v>
      </c>
      <c r="AE492" s="28">
        <f>IF(AQ492="7",BI492,0)</f>
        <v>0</v>
      </c>
      <c r="AF492" s="28">
        <f>IF(AQ492="2",BH492,0)</f>
        <v>0</v>
      </c>
      <c r="AG492" s="28">
        <f>IF(AQ492="2",BI492,0)</f>
        <v>0</v>
      </c>
      <c r="AH492" s="28">
        <f>IF(AQ492="0",BJ492,0)</f>
        <v>0</v>
      </c>
      <c r="AI492" s="27" t="s">
        <v>283</v>
      </c>
      <c r="AJ492" s="18">
        <f>IF(AN492=0,M492,0)</f>
        <v>0</v>
      </c>
      <c r="AK492" s="18">
        <f>IF(AN492=15,M492,0)</f>
        <v>0</v>
      </c>
      <c r="AL492" s="18">
        <f>IF(AN492=21,M492,0)</f>
        <v>0</v>
      </c>
      <c r="AN492" s="28">
        <v>15</v>
      </c>
      <c r="AO492" s="28">
        <f>J492*0</f>
        <v>0</v>
      </c>
      <c r="AP492" s="28">
        <f>J492*(1-0)</f>
        <v>0</v>
      </c>
      <c r="AQ492" s="29" t="s">
        <v>13</v>
      </c>
      <c r="AV492" s="28">
        <f>AW492+AX492</f>
        <v>0</v>
      </c>
      <c r="AW492" s="28">
        <f>I492*AO492</f>
        <v>0</v>
      </c>
      <c r="AX492" s="28">
        <f>I492*AP492</f>
        <v>0</v>
      </c>
      <c r="AY492" s="31" t="s">
        <v>1591</v>
      </c>
      <c r="AZ492" s="31" t="s">
        <v>1622</v>
      </c>
      <c r="BA492" s="27" t="s">
        <v>1628</v>
      </c>
      <c r="BC492" s="28">
        <f>AW492+AX492</f>
        <v>0</v>
      </c>
      <c r="BD492" s="28">
        <f>J492/(100-BE492)*100</f>
        <v>0</v>
      </c>
      <c r="BE492" s="28">
        <v>0</v>
      </c>
      <c r="BF492" s="28">
        <f>492</f>
        <v>492</v>
      </c>
      <c r="BH492" s="18">
        <f>I492*AO492</f>
        <v>0</v>
      </c>
      <c r="BI492" s="18">
        <f>I492*AP492</f>
        <v>0</v>
      </c>
      <c r="BJ492" s="18">
        <f>I492*J492</f>
        <v>0</v>
      </c>
      <c r="BK492" s="18" t="s">
        <v>1634</v>
      </c>
      <c r="BL492" s="28">
        <v>762</v>
      </c>
    </row>
    <row r="493" spans="1:15" ht="12.75">
      <c r="A493" s="89"/>
      <c r="B493" s="90"/>
      <c r="C493" s="90"/>
      <c r="D493" s="84" t="s">
        <v>30</v>
      </c>
      <c r="G493" s="91" t="s">
        <v>1420</v>
      </c>
      <c r="H493" s="90"/>
      <c r="I493" s="92">
        <v>24</v>
      </c>
      <c r="J493" s="90"/>
      <c r="K493" s="90"/>
      <c r="L493" s="90"/>
      <c r="M493" s="90"/>
      <c r="N493" s="79"/>
      <c r="O493" s="67"/>
    </row>
    <row r="494" spans="1:15" ht="12.75">
      <c r="A494" s="82"/>
      <c r="B494" s="83"/>
      <c r="C494" s="83"/>
      <c r="D494" s="85" t="s">
        <v>15</v>
      </c>
      <c r="G494" s="86" t="s">
        <v>1421</v>
      </c>
      <c r="H494" s="83"/>
      <c r="I494" s="88">
        <v>9</v>
      </c>
      <c r="J494" s="83"/>
      <c r="K494" s="83"/>
      <c r="L494" s="83"/>
      <c r="M494" s="83"/>
      <c r="N494" s="80"/>
      <c r="O494" s="67"/>
    </row>
    <row r="495" spans="1:15" ht="12.75">
      <c r="A495" s="3"/>
      <c r="C495" s="13" t="s">
        <v>302</v>
      </c>
      <c r="D495" s="145" t="s">
        <v>918</v>
      </c>
      <c r="E495" s="146"/>
      <c r="F495" s="146"/>
      <c r="G495" s="146"/>
      <c r="H495" s="146"/>
      <c r="I495" s="146"/>
      <c r="J495" s="146"/>
      <c r="K495" s="146"/>
      <c r="L495" s="146"/>
      <c r="M495" s="146"/>
      <c r="N495" s="147"/>
      <c r="O495" s="3"/>
    </row>
    <row r="496" spans="1:15" ht="12.75">
      <c r="A496" s="3"/>
      <c r="C496" s="12" t="s">
        <v>296</v>
      </c>
      <c r="D496" s="142" t="s">
        <v>877</v>
      </c>
      <c r="E496" s="143"/>
      <c r="F496" s="143"/>
      <c r="G496" s="143"/>
      <c r="H496" s="143"/>
      <c r="I496" s="143"/>
      <c r="J496" s="143"/>
      <c r="K496" s="143"/>
      <c r="L496" s="143"/>
      <c r="M496" s="143"/>
      <c r="N496" s="144"/>
      <c r="O496" s="3"/>
    </row>
    <row r="497" spans="1:64" ht="12.75">
      <c r="A497" s="81" t="s">
        <v>112</v>
      </c>
      <c r="B497" s="81" t="s">
        <v>283</v>
      </c>
      <c r="C497" s="81" t="s">
        <v>401</v>
      </c>
      <c r="D497" s="139" t="s">
        <v>919</v>
      </c>
      <c r="E497" s="134"/>
      <c r="F497" s="134"/>
      <c r="G497" s="140"/>
      <c r="H497" s="81" t="s">
        <v>1535</v>
      </c>
      <c r="I497" s="87">
        <v>731.36</v>
      </c>
      <c r="J497" s="87">
        <v>0</v>
      </c>
      <c r="K497" s="87">
        <f>I497*AO497</f>
        <v>0</v>
      </c>
      <c r="L497" s="87">
        <f>I497*AP497</f>
        <v>0</v>
      </c>
      <c r="M497" s="87">
        <f>I497*J497</f>
        <v>0</v>
      </c>
      <c r="N497" s="77" t="s">
        <v>1556</v>
      </c>
      <c r="O497" s="67"/>
      <c r="Z497" s="28">
        <f>IF(AQ497="5",BJ497,0)</f>
        <v>0</v>
      </c>
      <c r="AB497" s="28">
        <f>IF(AQ497="1",BH497,0)</f>
        <v>0</v>
      </c>
      <c r="AC497" s="28">
        <f>IF(AQ497="1",BI497,0)</f>
        <v>0</v>
      </c>
      <c r="AD497" s="28">
        <f>IF(AQ497="7",BH497,0)</f>
        <v>0</v>
      </c>
      <c r="AE497" s="28">
        <f>IF(AQ497="7",BI497,0)</f>
        <v>0</v>
      </c>
      <c r="AF497" s="28">
        <f>IF(AQ497="2",BH497,0)</f>
        <v>0</v>
      </c>
      <c r="AG497" s="28">
        <f>IF(AQ497="2",BI497,0)</f>
        <v>0</v>
      </c>
      <c r="AH497" s="28">
        <f>IF(AQ497="0",BJ497,0)</f>
        <v>0</v>
      </c>
      <c r="AI497" s="27" t="s">
        <v>283</v>
      </c>
      <c r="AJ497" s="18">
        <f>IF(AN497=0,M497,0)</f>
        <v>0</v>
      </c>
      <c r="AK497" s="18">
        <f>IF(AN497=15,M497,0)</f>
        <v>0</v>
      </c>
      <c r="AL497" s="18">
        <f>IF(AN497=21,M497,0)</f>
        <v>0</v>
      </c>
      <c r="AN497" s="28">
        <v>15</v>
      </c>
      <c r="AO497" s="28">
        <f>J497*0</f>
        <v>0</v>
      </c>
      <c r="AP497" s="28">
        <f>J497*(1-0)</f>
        <v>0</v>
      </c>
      <c r="AQ497" s="29" t="s">
        <v>13</v>
      </c>
      <c r="AV497" s="28">
        <f>AW497+AX497</f>
        <v>0</v>
      </c>
      <c r="AW497" s="28">
        <f>I497*AO497</f>
        <v>0</v>
      </c>
      <c r="AX497" s="28">
        <f>I497*AP497</f>
        <v>0</v>
      </c>
      <c r="AY497" s="31" t="s">
        <v>1591</v>
      </c>
      <c r="AZ497" s="31" t="s">
        <v>1622</v>
      </c>
      <c r="BA497" s="27" t="s">
        <v>1628</v>
      </c>
      <c r="BC497" s="28">
        <f>AW497+AX497</f>
        <v>0</v>
      </c>
      <c r="BD497" s="28">
        <f>J497/(100-BE497)*100</f>
        <v>0</v>
      </c>
      <c r="BE497" s="28">
        <v>0</v>
      </c>
      <c r="BF497" s="28">
        <f>497</f>
        <v>497</v>
      </c>
      <c r="BH497" s="18">
        <f>I497*AO497</f>
        <v>0</v>
      </c>
      <c r="BI497" s="18">
        <f>I497*AP497</f>
        <v>0</v>
      </c>
      <c r="BJ497" s="18">
        <f>I497*J497</f>
        <v>0</v>
      </c>
      <c r="BK497" s="18" t="s">
        <v>1634</v>
      </c>
      <c r="BL497" s="28">
        <v>762</v>
      </c>
    </row>
    <row r="498" spans="1:15" ht="12.75">
      <c r="A498" s="82"/>
      <c r="B498" s="83"/>
      <c r="C498" s="83"/>
      <c r="D498" s="85" t="s">
        <v>920</v>
      </c>
      <c r="G498" s="86" t="s">
        <v>1422</v>
      </c>
      <c r="H498" s="83"/>
      <c r="I498" s="88">
        <v>731.36</v>
      </c>
      <c r="J498" s="83"/>
      <c r="K498" s="83"/>
      <c r="L498" s="83"/>
      <c r="M498" s="83"/>
      <c r="N498" s="80"/>
      <c r="O498" s="67"/>
    </row>
    <row r="499" spans="1:15" ht="12.75">
      <c r="A499" s="3"/>
      <c r="C499" s="13" t="s">
        <v>302</v>
      </c>
      <c r="D499" s="145" t="s">
        <v>921</v>
      </c>
      <c r="E499" s="146"/>
      <c r="F499" s="146"/>
      <c r="G499" s="146"/>
      <c r="H499" s="146"/>
      <c r="I499" s="146"/>
      <c r="J499" s="146"/>
      <c r="K499" s="146"/>
      <c r="L499" s="146"/>
      <c r="M499" s="146"/>
      <c r="N499" s="147"/>
      <c r="O499" s="3"/>
    </row>
    <row r="500" spans="1:15" ht="12.75">
      <c r="A500" s="3"/>
      <c r="C500" s="12" t="s">
        <v>296</v>
      </c>
      <c r="D500" s="142" t="s">
        <v>877</v>
      </c>
      <c r="E500" s="143"/>
      <c r="F500" s="143"/>
      <c r="G500" s="143"/>
      <c r="H500" s="143"/>
      <c r="I500" s="143"/>
      <c r="J500" s="143"/>
      <c r="K500" s="143"/>
      <c r="L500" s="143"/>
      <c r="M500" s="143"/>
      <c r="N500" s="144"/>
      <c r="O500" s="3"/>
    </row>
    <row r="501" spans="1:64" ht="12.75">
      <c r="A501" s="74" t="s">
        <v>113</v>
      </c>
      <c r="B501" s="74" t="s">
        <v>283</v>
      </c>
      <c r="C501" s="74" t="s">
        <v>402</v>
      </c>
      <c r="D501" s="133" t="s">
        <v>922</v>
      </c>
      <c r="E501" s="134"/>
      <c r="F501" s="134"/>
      <c r="G501" s="135"/>
      <c r="H501" s="74" t="s">
        <v>1535</v>
      </c>
      <c r="I501" s="75">
        <v>731.36</v>
      </c>
      <c r="J501" s="75">
        <v>0</v>
      </c>
      <c r="K501" s="75">
        <f>I501*AO501</f>
        <v>0</v>
      </c>
      <c r="L501" s="75">
        <f>I501*AP501</f>
        <v>0</v>
      </c>
      <c r="M501" s="75">
        <f>I501*J501</f>
        <v>0</v>
      </c>
      <c r="N501" s="78" t="s">
        <v>1556</v>
      </c>
      <c r="O501" s="67"/>
      <c r="Z501" s="28">
        <f>IF(AQ501="5",BJ501,0)</f>
        <v>0</v>
      </c>
      <c r="AB501" s="28">
        <f>IF(AQ501="1",BH501,0)</f>
        <v>0</v>
      </c>
      <c r="AC501" s="28">
        <f>IF(AQ501="1",BI501,0)</f>
        <v>0</v>
      </c>
      <c r="AD501" s="28">
        <f>IF(AQ501="7",BH501,0)</f>
        <v>0</v>
      </c>
      <c r="AE501" s="28">
        <f>IF(AQ501="7",BI501,0)</f>
        <v>0</v>
      </c>
      <c r="AF501" s="28">
        <f>IF(AQ501="2",BH501,0)</f>
        <v>0</v>
      </c>
      <c r="AG501" s="28">
        <f>IF(AQ501="2",BI501,0)</f>
        <v>0</v>
      </c>
      <c r="AH501" s="28">
        <f>IF(AQ501="0",BJ501,0)</f>
        <v>0</v>
      </c>
      <c r="AI501" s="27" t="s">
        <v>283</v>
      </c>
      <c r="AJ501" s="18">
        <f>IF(AN501=0,M501,0)</f>
        <v>0</v>
      </c>
      <c r="AK501" s="18">
        <f>IF(AN501=15,M501,0)</f>
        <v>0</v>
      </c>
      <c r="AL501" s="18">
        <f>IF(AN501=21,M501,0)</f>
        <v>0</v>
      </c>
      <c r="AN501" s="28">
        <v>15</v>
      </c>
      <c r="AO501" s="28">
        <f>J501*0.2728</f>
        <v>0</v>
      </c>
      <c r="AP501" s="28">
        <f>J501*(1-0.2728)</f>
        <v>0</v>
      </c>
      <c r="AQ501" s="29" t="s">
        <v>13</v>
      </c>
      <c r="AV501" s="28">
        <f>AW501+AX501</f>
        <v>0</v>
      </c>
      <c r="AW501" s="28">
        <f>I501*AO501</f>
        <v>0</v>
      </c>
      <c r="AX501" s="28">
        <f>I501*AP501</f>
        <v>0</v>
      </c>
      <c r="AY501" s="31" t="s">
        <v>1591</v>
      </c>
      <c r="AZ501" s="31" t="s">
        <v>1622</v>
      </c>
      <c r="BA501" s="27" t="s">
        <v>1628</v>
      </c>
      <c r="BC501" s="28">
        <f>AW501+AX501</f>
        <v>0</v>
      </c>
      <c r="BD501" s="28">
        <f>J501/(100-BE501)*100</f>
        <v>0</v>
      </c>
      <c r="BE501" s="28">
        <v>0</v>
      </c>
      <c r="BF501" s="28">
        <f>501</f>
        <v>501</v>
      </c>
      <c r="BH501" s="18">
        <f>I501*AO501</f>
        <v>0</v>
      </c>
      <c r="BI501" s="18">
        <f>I501*AP501</f>
        <v>0</v>
      </c>
      <c r="BJ501" s="18">
        <f>I501*J501</f>
        <v>0</v>
      </c>
      <c r="BK501" s="18" t="s">
        <v>1634</v>
      </c>
      <c r="BL501" s="28">
        <v>762</v>
      </c>
    </row>
    <row r="502" spans="1:15" ht="12.75">
      <c r="A502" s="3"/>
      <c r="D502" s="136" t="s">
        <v>923</v>
      </c>
      <c r="E502" s="137"/>
      <c r="F502" s="137"/>
      <c r="G502" s="137"/>
      <c r="H502" s="137"/>
      <c r="I502" s="137"/>
      <c r="J502" s="137"/>
      <c r="K502" s="137"/>
      <c r="L502" s="137"/>
      <c r="M502" s="137"/>
      <c r="N502" s="138"/>
      <c r="O502" s="3"/>
    </row>
    <row r="503" spans="1:15" ht="12.75">
      <c r="A503" s="82"/>
      <c r="B503" s="83"/>
      <c r="C503" s="83"/>
      <c r="D503" s="85" t="s">
        <v>920</v>
      </c>
      <c r="G503" s="86" t="s">
        <v>1422</v>
      </c>
      <c r="H503" s="83"/>
      <c r="I503" s="88">
        <v>731.36</v>
      </c>
      <c r="J503" s="83"/>
      <c r="K503" s="83"/>
      <c r="L503" s="83"/>
      <c r="M503" s="83"/>
      <c r="N503" s="80"/>
      <c r="O503" s="67"/>
    </row>
    <row r="504" spans="1:15" ht="12.75">
      <c r="A504" s="3"/>
      <c r="C504" s="12" t="s">
        <v>296</v>
      </c>
      <c r="D504" s="142" t="s">
        <v>622</v>
      </c>
      <c r="E504" s="143"/>
      <c r="F504" s="143"/>
      <c r="G504" s="143"/>
      <c r="H504" s="143"/>
      <c r="I504" s="143"/>
      <c r="J504" s="143"/>
      <c r="K504" s="143"/>
      <c r="L504" s="143"/>
      <c r="M504" s="143"/>
      <c r="N504" s="144"/>
      <c r="O504" s="3"/>
    </row>
    <row r="505" spans="1:64" ht="12.75">
      <c r="A505" s="74" t="s">
        <v>114</v>
      </c>
      <c r="B505" s="74" t="s">
        <v>283</v>
      </c>
      <c r="C505" s="74" t="s">
        <v>403</v>
      </c>
      <c r="D505" s="133" t="s">
        <v>924</v>
      </c>
      <c r="E505" s="134"/>
      <c r="F505" s="134"/>
      <c r="G505" s="135"/>
      <c r="H505" s="74" t="s">
        <v>1535</v>
      </c>
      <c r="I505" s="75">
        <v>731.36</v>
      </c>
      <c r="J505" s="75">
        <v>0</v>
      </c>
      <c r="K505" s="75">
        <f>I505*AO505</f>
        <v>0</v>
      </c>
      <c r="L505" s="75">
        <f>I505*AP505</f>
        <v>0</v>
      </c>
      <c r="M505" s="75">
        <f>I505*J505</f>
        <v>0</v>
      </c>
      <c r="N505" s="78" t="s">
        <v>1556</v>
      </c>
      <c r="O505" s="67"/>
      <c r="Z505" s="28">
        <f>IF(AQ505="5",BJ505,0)</f>
        <v>0</v>
      </c>
      <c r="AB505" s="28">
        <f>IF(AQ505="1",BH505,0)</f>
        <v>0</v>
      </c>
      <c r="AC505" s="28">
        <f>IF(AQ505="1",BI505,0)</f>
        <v>0</v>
      </c>
      <c r="AD505" s="28">
        <f>IF(AQ505="7",BH505,0)</f>
        <v>0</v>
      </c>
      <c r="AE505" s="28">
        <f>IF(AQ505="7",BI505,0)</f>
        <v>0</v>
      </c>
      <c r="AF505" s="28">
        <f>IF(AQ505="2",BH505,0)</f>
        <v>0</v>
      </c>
      <c r="AG505" s="28">
        <f>IF(AQ505="2",BI505,0)</f>
        <v>0</v>
      </c>
      <c r="AH505" s="28">
        <f>IF(AQ505="0",BJ505,0)</f>
        <v>0</v>
      </c>
      <c r="AI505" s="27" t="s">
        <v>283</v>
      </c>
      <c r="AJ505" s="18">
        <f>IF(AN505=0,M505,0)</f>
        <v>0</v>
      </c>
      <c r="AK505" s="18">
        <f>IF(AN505=15,M505,0)</f>
        <v>0</v>
      </c>
      <c r="AL505" s="18">
        <f>IF(AN505=21,M505,0)</f>
        <v>0</v>
      </c>
      <c r="AN505" s="28">
        <v>15</v>
      </c>
      <c r="AO505" s="28">
        <f>J505*0.532890995260664</f>
        <v>0</v>
      </c>
      <c r="AP505" s="28">
        <f>J505*(1-0.532890995260664)</f>
        <v>0</v>
      </c>
      <c r="AQ505" s="29" t="s">
        <v>13</v>
      </c>
      <c r="AV505" s="28">
        <f>AW505+AX505</f>
        <v>0</v>
      </c>
      <c r="AW505" s="28">
        <f>I505*AO505</f>
        <v>0</v>
      </c>
      <c r="AX505" s="28">
        <f>I505*AP505</f>
        <v>0</v>
      </c>
      <c r="AY505" s="31" t="s">
        <v>1591</v>
      </c>
      <c r="AZ505" s="31" t="s">
        <v>1622</v>
      </c>
      <c r="BA505" s="27" t="s">
        <v>1628</v>
      </c>
      <c r="BC505" s="28">
        <f>AW505+AX505</f>
        <v>0</v>
      </c>
      <c r="BD505" s="28">
        <f>J505/(100-BE505)*100</f>
        <v>0</v>
      </c>
      <c r="BE505" s="28">
        <v>0</v>
      </c>
      <c r="BF505" s="28">
        <f>505</f>
        <v>505</v>
      </c>
      <c r="BH505" s="18">
        <f>I505*AO505</f>
        <v>0</v>
      </c>
      <c r="BI505" s="18">
        <f>I505*AP505</f>
        <v>0</v>
      </c>
      <c r="BJ505" s="18">
        <f>I505*J505</f>
        <v>0</v>
      </c>
      <c r="BK505" s="18" t="s">
        <v>1634</v>
      </c>
      <c r="BL505" s="28">
        <v>762</v>
      </c>
    </row>
    <row r="506" spans="1:15" ht="12.75">
      <c r="A506" s="3"/>
      <c r="D506" s="136" t="s">
        <v>925</v>
      </c>
      <c r="E506" s="137"/>
      <c r="F506" s="137"/>
      <c r="G506" s="137"/>
      <c r="H506" s="137"/>
      <c r="I506" s="137"/>
      <c r="J506" s="137"/>
      <c r="K506" s="137"/>
      <c r="L506" s="137"/>
      <c r="M506" s="137"/>
      <c r="N506" s="138"/>
      <c r="O506" s="3"/>
    </row>
    <row r="507" spans="1:15" ht="12.75">
      <c r="A507" s="82"/>
      <c r="B507" s="83"/>
      <c r="C507" s="83"/>
      <c r="D507" s="85" t="s">
        <v>920</v>
      </c>
      <c r="G507" s="86" t="s">
        <v>1422</v>
      </c>
      <c r="H507" s="83"/>
      <c r="I507" s="88">
        <v>731.36</v>
      </c>
      <c r="J507" s="83"/>
      <c r="K507" s="83"/>
      <c r="L507" s="83"/>
      <c r="M507" s="83"/>
      <c r="N507" s="80"/>
      <c r="O507" s="67"/>
    </row>
    <row r="508" spans="1:15" ht="12.75">
      <c r="A508" s="3"/>
      <c r="C508" s="13" t="s">
        <v>302</v>
      </c>
      <c r="D508" s="145" t="s">
        <v>926</v>
      </c>
      <c r="E508" s="146"/>
      <c r="F508" s="146"/>
      <c r="G508" s="146"/>
      <c r="H508" s="146"/>
      <c r="I508" s="146"/>
      <c r="J508" s="146"/>
      <c r="K508" s="146"/>
      <c r="L508" s="146"/>
      <c r="M508" s="146"/>
      <c r="N508" s="147"/>
      <c r="O508" s="3"/>
    </row>
    <row r="509" spans="1:15" ht="12.75">
      <c r="A509" s="3"/>
      <c r="C509" s="12" t="s">
        <v>296</v>
      </c>
      <c r="D509" s="142" t="s">
        <v>622</v>
      </c>
      <c r="E509" s="143"/>
      <c r="F509" s="143"/>
      <c r="G509" s="143"/>
      <c r="H509" s="143"/>
      <c r="I509" s="143"/>
      <c r="J509" s="143"/>
      <c r="K509" s="143"/>
      <c r="L509" s="143"/>
      <c r="M509" s="143"/>
      <c r="N509" s="144"/>
      <c r="O509" s="3"/>
    </row>
    <row r="510" spans="1:64" ht="12.75">
      <c r="A510" s="81" t="s">
        <v>115</v>
      </c>
      <c r="B510" s="81" t="s">
        <v>283</v>
      </c>
      <c r="C510" s="81" t="s">
        <v>399</v>
      </c>
      <c r="D510" s="139" t="s">
        <v>914</v>
      </c>
      <c r="E510" s="134"/>
      <c r="F510" s="134"/>
      <c r="G510" s="140"/>
      <c r="H510" s="81" t="s">
        <v>1536</v>
      </c>
      <c r="I510" s="87">
        <v>2.6802</v>
      </c>
      <c r="J510" s="87">
        <v>0</v>
      </c>
      <c r="K510" s="87">
        <f>I510*AO510</f>
        <v>0</v>
      </c>
      <c r="L510" s="87">
        <f>I510*AP510</f>
        <v>0</v>
      </c>
      <c r="M510" s="87">
        <f>I510*J510</f>
        <v>0</v>
      </c>
      <c r="N510" s="77" t="s">
        <v>1556</v>
      </c>
      <c r="O510" s="67"/>
      <c r="Z510" s="28">
        <f>IF(AQ510="5",BJ510,0)</f>
        <v>0</v>
      </c>
      <c r="AB510" s="28">
        <f>IF(AQ510="1",BH510,0)</f>
        <v>0</v>
      </c>
      <c r="AC510" s="28">
        <f>IF(AQ510="1",BI510,0)</f>
        <v>0</v>
      </c>
      <c r="AD510" s="28">
        <f>IF(AQ510="7",BH510,0)</f>
        <v>0</v>
      </c>
      <c r="AE510" s="28">
        <f>IF(AQ510="7",BI510,0)</f>
        <v>0</v>
      </c>
      <c r="AF510" s="28">
        <f>IF(AQ510="2",BH510,0)</f>
        <v>0</v>
      </c>
      <c r="AG510" s="28">
        <f>IF(AQ510="2",BI510,0)</f>
        <v>0</v>
      </c>
      <c r="AH510" s="28">
        <f>IF(AQ510="0",BJ510,0)</f>
        <v>0</v>
      </c>
      <c r="AI510" s="27" t="s">
        <v>283</v>
      </c>
      <c r="AJ510" s="18">
        <f>IF(AN510=0,M510,0)</f>
        <v>0</v>
      </c>
      <c r="AK510" s="18">
        <f>IF(AN510=15,M510,0)</f>
        <v>0</v>
      </c>
      <c r="AL510" s="18">
        <f>IF(AN510=21,M510,0)</f>
        <v>0</v>
      </c>
      <c r="AN510" s="28">
        <v>15</v>
      </c>
      <c r="AO510" s="28">
        <f>J510*1.0000012418083</f>
        <v>0</v>
      </c>
      <c r="AP510" s="28">
        <f>J510*(1-1.0000012418083)</f>
        <v>0</v>
      </c>
      <c r="AQ510" s="29" t="s">
        <v>13</v>
      </c>
      <c r="AV510" s="28">
        <f>AW510+AX510</f>
        <v>0</v>
      </c>
      <c r="AW510" s="28">
        <f>I510*AO510</f>
        <v>0</v>
      </c>
      <c r="AX510" s="28">
        <f>I510*AP510</f>
        <v>0</v>
      </c>
      <c r="AY510" s="31" t="s">
        <v>1591</v>
      </c>
      <c r="AZ510" s="31" t="s">
        <v>1622</v>
      </c>
      <c r="BA510" s="27" t="s">
        <v>1628</v>
      </c>
      <c r="BC510" s="28">
        <f>AW510+AX510</f>
        <v>0</v>
      </c>
      <c r="BD510" s="28">
        <f>J510/(100-BE510)*100</f>
        <v>0</v>
      </c>
      <c r="BE510" s="28">
        <v>0</v>
      </c>
      <c r="BF510" s="28">
        <f>510</f>
        <v>510</v>
      </c>
      <c r="BH510" s="18">
        <f>I510*AO510</f>
        <v>0</v>
      </c>
      <c r="BI510" s="18">
        <f>I510*AP510</f>
        <v>0</v>
      </c>
      <c r="BJ510" s="18">
        <f>I510*J510</f>
        <v>0</v>
      </c>
      <c r="BK510" s="18" t="s">
        <v>1634</v>
      </c>
      <c r="BL510" s="28">
        <v>762</v>
      </c>
    </row>
    <row r="511" spans="1:15" ht="12.75">
      <c r="A511" s="82"/>
      <c r="B511" s="83"/>
      <c r="C511" s="83"/>
      <c r="D511" s="85" t="s">
        <v>927</v>
      </c>
      <c r="G511" s="86" t="s">
        <v>1423</v>
      </c>
      <c r="H511" s="83"/>
      <c r="I511" s="88">
        <v>2.6802</v>
      </c>
      <c r="J511" s="83"/>
      <c r="K511" s="83"/>
      <c r="L511" s="83"/>
      <c r="M511" s="83"/>
      <c r="N511" s="80"/>
      <c r="O511" s="67"/>
    </row>
    <row r="512" spans="1:15" ht="12.75">
      <c r="A512" s="3"/>
      <c r="C512" s="13" t="s">
        <v>302</v>
      </c>
      <c r="D512" s="145" t="s">
        <v>916</v>
      </c>
      <c r="E512" s="146"/>
      <c r="F512" s="146"/>
      <c r="G512" s="146"/>
      <c r="H512" s="146"/>
      <c r="I512" s="146"/>
      <c r="J512" s="146"/>
      <c r="K512" s="146"/>
      <c r="L512" s="146"/>
      <c r="M512" s="146"/>
      <c r="N512" s="147"/>
      <c r="O512" s="3"/>
    </row>
    <row r="513" spans="1:64" ht="12.75">
      <c r="A513" s="74" t="s">
        <v>116</v>
      </c>
      <c r="B513" s="74" t="s">
        <v>283</v>
      </c>
      <c r="C513" s="74" t="s">
        <v>404</v>
      </c>
      <c r="D513" s="133" t="s">
        <v>928</v>
      </c>
      <c r="E513" s="134"/>
      <c r="F513" s="134"/>
      <c r="G513" s="135"/>
      <c r="H513" s="74" t="s">
        <v>1535</v>
      </c>
      <c r="I513" s="75">
        <v>440.288</v>
      </c>
      <c r="J513" s="75">
        <v>0</v>
      </c>
      <c r="K513" s="75">
        <f>I513*AO513</f>
        <v>0</v>
      </c>
      <c r="L513" s="75">
        <f>I513*AP513</f>
        <v>0</v>
      </c>
      <c r="M513" s="75">
        <f>I513*J513</f>
        <v>0</v>
      </c>
      <c r="N513" s="78" t="s">
        <v>1556</v>
      </c>
      <c r="O513" s="67"/>
      <c r="Z513" s="28">
        <f>IF(AQ513="5",BJ513,0)</f>
        <v>0</v>
      </c>
      <c r="AB513" s="28">
        <f>IF(AQ513="1",BH513,0)</f>
        <v>0</v>
      </c>
      <c r="AC513" s="28">
        <f>IF(AQ513="1",BI513,0)</f>
        <v>0</v>
      </c>
      <c r="AD513" s="28">
        <f>IF(AQ513="7",BH513,0)</f>
        <v>0</v>
      </c>
      <c r="AE513" s="28">
        <f>IF(AQ513="7",BI513,0)</f>
        <v>0</v>
      </c>
      <c r="AF513" s="28">
        <f>IF(AQ513="2",BH513,0)</f>
        <v>0</v>
      </c>
      <c r="AG513" s="28">
        <f>IF(AQ513="2",BI513,0)</f>
        <v>0</v>
      </c>
      <c r="AH513" s="28">
        <f>IF(AQ513="0",BJ513,0)</f>
        <v>0</v>
      </c>
      <c r="AI513" s="27" t="s">
        <v>283</v>
      </c>
      <c r="AJ513" s="18">
        <f>IF(AN513=0,M513,0)</f>
        <v>0</v>
      </c>
      <c r="AK513" s="18">
        <f>IF(AN513=15,M513,0)</f>
        <v>0</v>
      </c>
      <c r="AL513" s="18">
        <f>IF(AN513=21,M513,0)</f>
        <v>0</v>
      </c>
      <c r="AN513" s="28">
        <v>15</v>
      </c>
      <c r="AO513" s="28">
        <f>J513*0.104577972604093</f>
        <v>0</v>
      </c>
      <c r="AP513" s="28">
        <f>J513*(1-0.104577972604093)</f>
        <v>0</v>
      </c>
      <c r="AQ513" s="29" t="s">
        <v>13</v>
      </c>
      <c r="AV513" s="28">
        <f>AW513+AX513</f>
        <v>0</v>
      </c>
      <c r="AW513" s="28">
        <f>I513*AO513</f>
        <v>0</v>
      </c>
      <c r="AX513" s="28">
        <f>I513*AP513</f>
        <v>0</v>
      </c>
      <c r="AY513" s="31" t="s">
        <v>1591</v>
      </c>
      <c r="AZ513" s="31" t="s">
        <v>1622</v>
      </c>
      <c r="BA513" s="27" t="s">
        <v>1628</v>
      </c>
      <c r="BC513" s="28">
        <f>AW513+AX513</f>
        <v>0</v>
      </c>
      <c r="BD513" s="28">
        <f>J513/(100-BE513)*100</f>
        <v>0</v>
      </c>
      <c r="BE513" s="28">
        <v>0</v>
      </c>
      <c r="BF513" s="28">
        <f>513</f>
        <v>513</v>
      </c>
      <c r="BH513" s="18">
        <f>I513*AO513</f>
        <v>0</v>
      </c>
      <c r="BI513" s="18">
        <f>I513*AP513</f>
        <v>0</v>
      </c>
      <c r="BJ513" s="18">
        <f>I513*J513</f>
        <v>0</v>
      </c>
      <c r="BK513" s="18" t="s">
        <v>1634</v>
      </c>
      <c r="BL513" s="28">
        <v>762</v>
      </c>
    </row>
    <row r="514" spans="1:15" ht="12.75">
      <c r="A514" s="3"/>
      <c r="D514" s="136" t="s">
        <v>929</v>
      </c>
      <c r="E514" s="137"/>
      <c r="F514" s="137"/>
      <c r="G514" s="137"/>
      <c r="H514" s="137"/>
      <c r="I514" s="137"/>
      <c r="J514" s="137"/>
      <c r="K514" s="137"/>
      <c r="L514" s="137"/>
      <c r="M514" s="137"/>
      <c r="N514" s="138"/>
      <c r="O514" s="3"/>
    </row>
    <row r="515" spans="1:15" ht="12.75">
      <c r="A515" s="82"/>
      <c r="B515" s="83"/>
      <c r="C515" s="83"/>
      <c r="D515" s="85" t="s">
        <v>930</v>
      </c>
      <c r="G515" s="86" t="s">
        <v>1424</v>
      </c>
      <c r="H515" s="83"/>
      <c r="I515" s="88">
        <v>440.288</v>
      </c>
      <c r="J515" s="83"/>
      <c r="K515" s="83"/>
      <c r="L515" s="83"/>
      <c r="M515" s="83"/>
      <c r="N515" s="80"/>
      <c r="O515" s="67"/>
    </row>
    <row r="516" spans="1:15" ht="12.75">
      <c r="A516" s="3"/>
      <c r="C516" s="12" t="s">
        <v>296</v>
      </c>
      <c r="D516" s="142" t="s">
        <v>622</v>
      </c>
      <c r="E516" s="143"/>
      <c r="F516" s="143"/>
      <c r="G516" s="143"/>
      <c r="H516" s="143"/>
      <c r="I516" s="143"/>
      <c r="J516" s="143"/>
      <c r="K516" s="143"/>
      <c r="L516" s="143"/>
      <c r="M516" s="143"/>
      <c r="N516" s="144"/>
      <c r="O516" s="3"/>
    </row>
    <row r="517" spans="1:64" ht="12.75">
      <c r="A517" s="81" t="s">
        <v>117</v>
      </c>
      <c r="B517" s="81" t="s">
        <v>283</v>
      </c>
      <c r="C517" s="81" t="s">
        <v>405</v>
      </c>
      <c r="D517" s="139" t="s">
        <v>931</v>
      </c>
      <c r="E517" s="134"/>
      <c r="F517" s="134"/>
      <c r="G517" s="140"/>
      <c r="H517" s="81" t="s">
        <v>1535</v>
      </c>
      <c r="I517" s="87">
        <v>731.36</v>
      </c>
      <c r="J517" s="87">
        <v>0</v>
      </c>
      <c r="K517" s="87">
        <f>I517*AO517</f>
        <v>0</v>
      </c>
      <c r="L517" s="87">
        <f>I517*AP517</f>
        <v>0</v>
      </c>
      <c r="M517" s="87">
        <f>I517*J517</f>
        <v>0</v>
      </c>
      <c r="N517" s="77" t="s">
        <v>1556</v>
      </c>
      <c r="O517" s="67"/>
      <c r="Z517" s="28">
        <f>IF(AQ517="5",BJ517,0)</f>
        <v>0</v>
      </c>
      <c r="AB517" s="28">
        <f>IF(AQ517="1",BH517,0)</f>
        <v>0</v>
      </c>
      <c r="AC517" s="28">
        <f>IF(AQ517="1",BI517,0)</f>
        <v>0</v>
      </c>
      <c r="AD517" s="28">
        <f>IF(AQ517="7",BH517,0)</f>
        <v>0</v>
      </c>
      <c r="AE517" s="28">
        <f>IF(AQ517="7",BI517,0)</f>
        <v>0</v>
      </c>
      <c r="AF517" s="28">
        <f>IF(AQ517="2",BH517,0)</f>
        <v>0</v>
      </c>
      <c r="AG517" s="28">
        <f>IF(AQ517="2",BI517,0)</f>
        <v>0</v>
      </c>
      <c r="AH517" s="28">
        <f>IF(AQ517="0",BJ517,0)</f>
        <v>0</v>
      </c>
      <c r="AI517" s="27" t="s">
        <v>283</v>
      </c>
      <c r="AJ517" s="18">
        <f>IF(AN517=0,M517,0)</f>
        <v>0</v>
      </c>
      <c r="AK517" s="18">
        <f>IF(AN517=15,M517,0)</f>
        <v>0</v>
      </c>
      <c r="AL517" s="18">
        <f>IF(AN517=21,M517,0)</f>
        <v>0</v>
      </c>
      <c r="AN517" s="28">
        <v>15</v>
      </c>
      <c r="AO517" s="28">
        <f>J517*0</f>
        <v>0</v>
      </c>
      <c r="AP517" s="28">
        <f>J517*(1-0)</f>
        <v>0</v>
      </c>
      <c r="AQ517" s="29" t="s">
        <v>13</v>
      </c>
      <c r="AV517" s="28">
        <f>AW517+AX517</f>
        <v>0</v>
      </c>
      <c r="AW517" s="28">
        <f>I517*AO517</f>
        <v>0</v>
      </c>
      <c r="AX517" s="28">
        <f>I517*AP517</f>
        <v>0</v>
      </c>
      <c r="AY517" s="31" t="s">
        <v>1591</v>
      </c>
      <c r="AZ517" s="31" t="s">
        <v>1622</v>
      </c>
      <c r="BA517" s="27" t="s">
        <v>1628</v>
      </c>
      <c r="BC517" s="28">
        <f>AW517+AX517</f>
        <v>0</v>
      </c>
      <c r="BD517" s="28">
        <f>J517/(100-BE517)*100</f>
        <v>0</v>
      </c>
      <c r="BE517" s="28">
        <v>0</v>
      </c>
      <c r="BF517" s="28">
        <f>517</f>
        <v>517</v>
      </c>
      <c r="BH517" s="18">
        <f>I517*AO517</f>
        <v>0</v>
      </c>
      <c r="BI517" s="18">
        <f>I517*AP517</f>
        <v>0</v>
      </c>
      <c r="BJ517" s="18">
        <f>I517*J517</f>
        <v>0</v>
      </c>
      <c r="BK517" s="18" t="s">
        <v>1634</v>
      </c>
      <c r="BL517" s="28">
        <v>762</v>
      </c>
    </row>
    <row r="518" spans="1:15" ht="12.75">
      <c r="A518" s="82"/>
      <c r="B518" s="83"/>
      <c r="C518" s="83"/>
      <c r="D518" s="85" t="s">
        <v>920</v>
      </c>
      <c r="G518" s="86" t="s">
        <v>1422</v>
      </c>
      <c r="H518" s="83"/>
      <c r="I518" s="88">
        <v>731.36</v>
      </c>
      <c r="J518" s="83"/>
      <c r="K518" s="83"/>
      <c r="L518" s="83"/>
      <c r="M518" s="83"/>
      <c r="N518" s="80"/>
      <c r="O518" s="67"/>
    </row>
    <row r="519" spans="1:15" ht="12.75">
      <c r="A519" s="3"/>
      <c r="C519" s="13" t="s">
        <v>302</v>
      </c>
      <c r="D519" s="145" t="s">
        <v>932</v>
      </c>
      <c r="E519" s="146"/>
      <c r="F519" s="146"/>
      <c r="G519" s="146"/>
      <c r="H519" s="146"/>
      <c r="I519" s="146"/>
      <c r="J519" s="146"/>
      <c r="K519" s="146"/>
      <c r="L519" s="146"/>
      <c r="M519" s="146"/>
      <c r="N519" s="147"/>
      <c r="O519" s="3"/>
    </row>
    <row r="520" spans="1:15" ht="12.75">
      <c r="A520" s="3"/>
      <c r="C520" s="12" t="s">
        <v>296</v>
      </c>
      <c r="D520" s="142" t="s">
        <v>877</v>
      </c>
      <c r="E520" s="143"/>
      <c r="F520" s="143"/>
      <c r="G520" s="143"/>
      <c r="H520" s="143"/>
      <c r="I520" s="143"/>
      <c r="J520" s="143"/>
      <c r="K520" s="143"/>
      <c r="L520" s="143"/>
      <c r="M520" s="143"/>
      <c r="N520" s="144"/>
      <c r="O520" s="3"/>
    </row>
    <row r="521" spans="1:64" ht="12.75">
      <c r="A521" s="81" t="s">
        <v>118</v>
      </c>
      <c r="B521" s="81" t="s">
        <v>283</v>
      </c>
      <c r="C521" s="81" t="s">
        <v>406</v>
      </c>
      <c r="D521" s="139" t="s">
        <v>933</v>
      </c>
      <c r="E521" s="134"/>
      <c r="F521" s="134"/>
      <c r="G521" s="140"/>
      <c r="H521" s="81" t="s">
        <v>1535</v>
      </c>
      <c r="I521" s="87">
        <v>152.88</v>
      </c>
      <c r="J521" s="87">
        <v>0</v>
      </c>
      <c r="K521" s="87">
        <f>I521*AO521</f>
        <v>0</v>
      </c>
      <c r="L521" s="87">
        <f>I521*AP521</f>
        <v>0</v>
      </c>
      <c r="M521" s="87">
        <f>I521*J521</f>
        <v>0</v>
      </c>
      <c r="N521" s="77" t="s">
        <v>1556</v>
      </c>
      <c r="O521" s="67"/>
      <c r="Z521" s="28">
        <f>IF(AQ521="5",BJ521,0)</f>
        <v>0</v>
      </c>
      <c r="AB521" s="28">
        <f>IF(AQ521="1",BH521,0)</f>
        <v>0</v>
      </c>
      <c r="AC521" s="28">
        <f>IF(AQ521="1",BI521,0)</f>
        <v>0</v>
      </c>
      <c r="AD521" s="28">
        <f>IF(AQ521="7",BH521,0)</f>
        <v>0</v>
      </c>
      <c r="AE521" s="28">
        <f>IF(AQ521="7",BI521,0)</f>
        <v>0</v>
      </c>
      <c r="AF521" s="28">
        <f>IF(AQ521="2",BH521,0)</f>
        <v>0</v>
      </c>
      <c r="AG521" s="28">
        <f>IF(AQ521="2",BI521,0)</f>
        <v>0</v>
      </c>
      <c r="AH521" s="28">
        <f>IF(AQ521="0",BJ521,0)</f>
        <v>0</v>
      </c>
      <c r="AI521" s="27" t="s">
        <v>283</v>
      </c>
      <c r="AJ521" s="18">
        <f>IF(AN521=0,M521,0)</f>
        <v>0</v>
      </c>
      <c r="AK521" s="18">
        <f>IF(AN521=15,M521,0)</f>
        <v>0</v>
      </c>
      <c r="AL521" s="18">
        <f>IF(AN521=21,M521,0)</f>
        <v>0</v>
      </c>
      <c r="AN521" s="28">
        <v>15</v>
      </c>
      <c r="AO521" s="28">
        <f>J521*0</f>
        <v>0</v>
      </c>
      <c r="AP521" s="28">
        <f>J521*(1-0)</f>
        <v>0</v>
      </c>
      <c r="AQ521" s="29" t="s">
        <v>13</v>
      </c>
      <c r="AV521" s="28">
        <f>AW521+AX521</f>
        <v>0</v>
      </c>
      <c r="AW521" s="28">
        <f>I521*AO521</f>
        <v>0</v>
      </c>
      <c r="AX521" s="28">
        <f>I521*AP521</f>
        <v>0</v>
      </c>
      <c r="AY521" s="31" t="s">
        <v>1591</v>
      </c>
      <c r="AZ521" s="31" t="s">
        <v>1622</v>
      </c>
      <c r="BA521" s="27" t="s">
        <v>1628</v>
      </c>
      <c r="BC521" s="28">
        <f>AW521+AX521</f>
        <v>0</v>
      </c>
      <c r="BD521" s="28">
        <f>J521/(100-BE521)*100</f>
        <v>0</v>
      </c>
      <c r="BE521" s="28">
        <v>0</v>
      </c>
      <c r="BF521" s="28">
        <f>521</f>
        <v>521</v>
      </c>
      <c r="BH521" s="18">
        <f>I521*AO521</f>
        <v>0</v>
      </c>
      <c r="BI521" s="18">
        <f>I521*AP521</f>
        <v>0</v>
      </c>
      <c r="BJ521" s="18">
        <f>I521*J521</f>
        <v>0</v>
      </c>
      <c r="BK521" s="18" t="s">
        <v>1634</v>
      </c>
      <c r="BL521" s="28">
        <v>762</v>
      </c>
    </row>
    <row r="522" spans="1:15" ht="12.75">
      <c r="A522" s="82"/>
      <c r="B522" s="83"/>
      <c r="C522" s="83"/>
      <c r="D522" s="85" t="s">
        <v>860</v>
      </c>
      <c r="G522" s="86" t="s">
        <v>1425</v>
      </c>
      <c r="H522" s="83"/>
      <c r="I522" s="88">
        <v>152.88</v>
      </c>
      <c r="J522" s="83"/>
      <c r="K522" s="83"/>
      <c r="L522" s="83"/>
      <c r="M522" s="83"/>
      <c r="N522" s="80"/>
      <c r="O522" s="67"/>
    </row>
    <row r="523" spans="1:15" ht="12.75">
      <c r="A523" s="3"/>
      <c r="C523" s="12" t="s">
        <v>296</v>
      </c>
      <c r="D523" s="142" t="s">
        <v>877</v>
      </c>
      <c r="E523" s="143"/>
      <c r="F523" s="143"/>
      <c r="G523" s="143"/>
      <c r="H523" s="143"/>
      <c r="I523" s="143"/>
      <c r="J523" s="143"/>
      <c r="K523" s="143"/>
      <c r="L523" s="143"/>
      <c r="M523" s="143"/>
      <c r="N523" s="144"/>
      <c r="O523" s="3"/>
    </row>
    <row r="524" spans="1:64" ht="12.75">
      <c r="A524" s="81" t="s">
        <v>119</v>
      </c>
      <c r="B524" s="81" t="s">
        <v>283</v>
      </c>
      <c r="C524" s="81" t="s">
        <v>407</v>
      </c>
      <c r="D524" s="139" t="s">
        <v>934</v>
      </c>
      <c r="E524" s="134"/>
      <c r="F524" s="134"/>
      <c r="G524" s="140"/>
      <c r="H524" s="81" t="s">
        <v>1540</v>
      </c>
      <c r="I524" s="87">
        <v>5083.72</v>
      </c>
      <c r="J524" s="87">
        <v>0</v>
      </c>
      <c r="K524" s="87">
        <f>I524*AO524</f>
        <v>0</v>
      </c>
      <c r="L524" s="87">
        <f>I524*AP524</f>
        <v>0</v>
      </c>
      <c r="M524" s="87">
        <f>I524*J524</f>
        <v>0</v>
      </c>
      <c r="N524" s="77" t="s">
        <v>1556</v>
      </c>
      <c r="O524" s="67"/>
      <c r="Z524" s="28">
        <f>IF(AQ524="5",BJ524,0)</f>
        <v>0</v>
      </c>
      <c r="AB524" s="28">
        <f>IF(AQ524="1",BH524,0)</f>
        <v>0</v>
      </c>
      <c r="AC524" s="28">
        <f>IF(AQ524="1",BI524,0)</f>
        <v>0</v>
      </c>
      <c r="AD524" s="28">
        <f>IF(AQ524="7",BH524,0)</f>
        <v>0</v>
      </c>
      <c r="AE524" s="28">
        <f>IF(AQ524="7",BI524,0)</f>
        <v>0</v>
      </c>
      <c r="AF524" s="28">
        <f>IF(AQ524="2",BH524,0)</f>
        <v>0</v>
      </c>
      <c r="AG524" s="28">
        <f>IF(AQ524="2",BI524,0)</f>
        <v>0</v>
      </c>
      <c r="AH524" s="28">
        <f>IF(AQ524="0",BJ524,0)</f>
        <v>0</v>
      </c>
      <c r="AI524" s="27" t="s">
        <v>283</v>
      </c>
      <c r="AJ524" s="18">
        <f>IF(AN524=0,M524,0)</f>
        <v>0</v>
      </c>
      <c r="AK524" s="18">
        <f>IF(AN524=15,M524,0)</f>
        <v>0</v>
      </c>
      <c r="AL524" s="18">
        <f>IF(AN524=21,M524,0)</f>
        <v>0</v>
      </c>
      <c r="AN524" s="28">
        <v>15</v>
      </c>
      <c r="AO524" s="28">
        <f>J524*0</f>
        <v>0</v>
      </c>
      <c r="AP524" s="28">
        <f>J524*(1-0)</f>
        <v>0</v>
      </c>
      <c r="AQ524" s="29" t="s">
        <v>11</v>
      </c>
      <c r="AV524" s="28">
        <f>AW524+AX524</f>
        <v>0</v>
      </c>
      <c r="AW524" s="28">
        <f>I524*AO524</f>
        <v>0</v>
      </c>
      <c r="AX524" s="28">
        <f>I524*AP524</f>
        <v>0</v>
      </c>
      <c r="AY524" s="31" t="s">
        <v>1591</v>
      </c>
      <c r="AZ524" s="31" t="s">
        <v>1622</v>
      </c>
      <c r="BA524" s="27" t="s">
        <v>1628</v>
      </c>
      <c r="BC524" s="28">
        <f>AW524+AX524</f>
        <v>0</v>
      </c>
      <c r="BD524" s="28">
        <f>J524/(100-BE524)*100</f>
        <v>0</v>
      </c>
      <c r="BE524" s="28">
        <v>0</v>
      </c>
      <c r="BF524" s="28">
        <f>524</f>
        <v>524</v>
      </c>
      <c r="BH524" s="18">
        <f>I524*AO524</f>
        <v>0</v>
      </c>
      <c r="BI524" s="18">
        <f>I524*AP524</f>
        <v>0</v>
      </c>
      <c r="BJ524" s="18">
        <f>I524*J524</f>
        <v>0</v>
      </c>
      <c r="BK524" s="18" t="s">
        <v>1634</v>
      </c>
      <c r="BL524" s="28">
        <v>762</v>
      </c>
    </row>
    <row r="525" spans="1:15" ht="12.75">
      <c r="A525" s="89"/>
      <c r="B525" s="90"/>
      <c r="C525" s="90"/>
      <c r="D525" s="84" t="s">
        <v>935</v>
      </c>
      <c r="G525" s="91"/>
      <c r="H525" s="90"/>
      <c r="I525" s="92">
        <v>5083.72</v>
      </c>
      <c r="J525" s="90"/>
      <c r="K525" s="90"/>
      <c r="L525" s="90"/>
      <c r="M525" s="90"/>
      <c r="N525" s="79"/>
      <c r="O525" s="67"/>
    </row>
    <row r="526" spans="1:47" ht="12.75">
      <c r="A526" s="72"/>
      <c r="B526" s="73" t="s">
        <v>283</v>
      </c>
      <c r="C526" s="73" t="s">
        <v>408</v>
      </c>
      <c r="D526" s="130" t="s">
        <v>936</v>
      </c>
      <c r="E526" s="131"/>
      <c r="F526" s="131"/>
      <c r="G526" s="132"/>
      <c r="H526" s="72" t="s">
        <v>6</v>
      </c>
      <c r="I526" s="72" t="s">
        <v>6</v>
      </c>
      <c r="J526" s="72" t="s">
        <v>6</v>
      </c>
      <c r="K526" s="76">
        <f>SUM(K527:K544)</f>
        <v>0</v>
      </c>
      <c r="L526" s="76">
        <f>SUM(L527:L544)</f>
        <v>0</v>
      </c>
      <c r="M526" s="76">
        <f>SUM(M527:M544)</f>
        <v>0</v>
      </c>
      <c r="N526" s="71"/>
      <c r="O526" s="67"/>
      <c r="AI526" s="27" t="s">
        <v>283</v>
      </c>
      <c r="AS526" s="33">
        <f>SUM(AJ527:AJ544)</f>
        <v>0</v>
      </c>
      <c r="AT526" s="33">
        <f>SUM(AK527:AK544)</f>
        <v>0</v>
      </c>
      <c r="AU526" s="33">
        <f>SUM(AL527:AL544)</f>
        <v>0</v>
      </c>
    </row>
    <row r="527" spans="1:64" ht="12.75">
      <c r="A527" s="74" t="s">
        <v>120</v>
      </c>
      <c r="B527" s="74" t="s">
        <v>283</v>
      </c>
      <c r="C527" s="74" t="s">
        <v>409</v>
      </c>
      <c r="D527" s="133" t="s">
        <v>937</v>
      </c>
      <c r="E527" s="134"/>
      <c r="F527" s="134"/>
      <c r="G527" s="135"/>
      <c r="H527" s="74" t="s">
        <v>1535</v>
      </c>
      <c r="I527" s="75">
        <v>152.88</v>
      </c>
      <c r="J527" s="75">
        <v>0</v>
      </c>
      <c r="K527" s="75">
        <f>I527*AO527</f>
        <v>0</v>
      </c>
      <c r="L527" s="75">
        <f>I527*AP527</f>
        <v>0</v>
      </c>
      <c r="M527" s="75">
        <f>I527*J527</f>
        <v>0</v>
      </c>
      <c r="N527" s="78" t="s">
        <v>1556</v>
      </c>
      <c r="O527" s="67"/>
      <c r="Z527" s="28">
        <f>IF(AQ527="5",BJ527,0)</f>
        <v>0</v>
      </c>
      <c r="AB527" s="28">
        <f>IF(AQ527="1",BH527,0)</f>
        <v>0</v>
      </c>
      <c r="AC527" s="28">
        <f>IF(AQ527="1",BI527,0)</f>
        <v>0</v>
      </c>
      <c r="AD527" s="28">
        <f>IF(AQ527="7",BH527,0)</f>
        <v>0</v>
      </c>
      <c r="AE527" s="28">
        <f>IF(AQ527="7",BI527,0)</f>
        <v>0</v>
      </c>
      <c r="AF527" s="28">
        <f>IF(AQ527="2",BH527,0)</f>
        <v>0</v>
      </c>
      <c r="AG527" s="28">
        <f>IF(AQ527="2",BI527,0)</f>
        <v>0</v>
      </c>
      <c r="AH527" s="28">
        <f>IF(AQ527="0",BJ527,0)</f>
        <v>0</v>
      </c>
      <c r="AI527" s="27" t="s">
        <v>283</v>
      </c>
      <c r="AJ527" s="18">
        <f>IF(AN527=0,M527,0)</f>
        <v>0</v>
      </c>
      <c r="AK527" s="18">
        <f>IF(AN527=15,M527,0)</f>
        <v>0</v>
      </c>
      <c r="AL527" s="18">
        <f>IF(AN527=21,M527,0)</f>
        <v>0</v>
      </c>
      <c r="AN527" s="28">
        <v>15</v>
      </c>
      <c r="AO527" s="28">
        <f>J527*0.762340425531915</f>
        <v>0</v>
      </c>
      <c r="AP527" s="28">
        <f>J527*(1-0.762340425531915)</f>
        <v>0</v>
      </c>
      <c r="AQ527" s="29" t="s">
        <v>13</v>
      </c>
      <c r="AV527" s="28">
        <f>AW527+AX527</f>
        <v>0</v>
      </c>
      <c r="AW527" s="28">
        <f>I527*AO527</f>
        <v>0</v>
      </c>
      <c r="AX527" s="28">
        <f>I527*AP527</f>
        <v>0</v>
      </c>
      <c r="AY527" s="31" t="s">
        <v>1592</v>
      </c>
      <c r="AZ527" s="31" t="s">
        <v>1622</v>
      </c>
      <c r="BA527" s="27" t="s">
        <v>1628</v>
      </c>
      <c r="BC527" s="28">
        <f>AW527+AX527</f>
        <v>0</v>
      </c>
      <c r="BD527" s="28">
        <f>J527/(100-BE527)*100</f>
        <v>0</v>
      </c>
      <c r="BE527" s="28">
        <v>0</v>
      </c>
      <c r="BF527" s="28">
        <f>527</f>
        <v>527</v>
      </c>
      <c r="BH527" s="18">
        <f>I527*AO527</f>
        <v>0</v>
      </c>
      <c r="BI527" s="18">
        <f>I527*AP527</f>
        <v>0</v>
      </c>
      <c r="BJ527" s="18">
        <f>I527*J527</f>
        <v>0</v>
      </c>
      <c r="BK527" s="18" t="s">
        <v>1634</v>
      </c>
      <c r="BL527" s="28">
        <v>763</v>
      </c>
    </row>
    <row r="528" spans="1:15" ht="12.75">
      <c r="A528" s="3"/>
      <c r="D528" s="136" t="s">
        <v>938</v>
      </c>
      <c r="E528" s="137"/>
      <c r="F528" s="137"/>
      <c r="G528" s="137"/>
      <c r="H528" s="137"/>
      <c r="I528" s="137"/>
      <c r="J528" s="137"/>
      <c r="K528" s="137"/>
      <c r="L528" s="137"/>
      <c r="M528" s="137"/>
      <c r="N528" s="138"/>
      <c r="O528" s="3"/>
    </row>
    <row r="529" spans="1:15" ht="12.75">
      <c r="A529" s="82"/>
      <c r="B529" s="83"/>
      <c r="C529" s="83"/>
      <c r="D529" s="85" t="s">
        <v>860</v>
      </c>
      <c r="G529" s="86" t="s">
        <v>1408</v>
      </c>
      <c r="H529" s="83"/>
      <c r="I529" s="88">
        <v>152.88</v>
      </c>
      <c r="J529" s="83"/>
      <c r="K529" s="83"/>
      <c r="L529" s="83"/>
      <c r="M529" s="83"/>
      <c r="N529" s="80"/>
      <c r="O529" s="67"/>
    </row>
    <row r="530" spans="1:15" ht="12.75">
      <c r="A530" s="3"/>
      <c r="C530" s="13" t="s">
        <v>302</v>
      </c>
      <c r="D530" s="145" t="s">
        <v>939</v>
      </c>
      <c r="E530" s="146"/>
      <c r="F530" s="146"/>
      <c r="G530" s="146"/>
      <c r="H530" s="146"/>
      <c r="I530" s="146"/>
      <c r="J530" s="146"/>
      <c r="K530" s="146"/>
      <c r="L530" s="146"/>
      <c r="M530" s="146"/>
      <c r="N530" s="147"/>
      <c r="O530" s="3"/>
    </row>
    <row r="531" spans="1:15" ht="12.75">
      <c r="A531" s="3"/>
      <c r="C531" s="12" t="s">
        <v>296</v>
      </c>
      <c r="D531" s="142" t="s">
        <v>622</v>
      </c>
      <c r="E531" s="143"/>
      <c r="F531" s="143"/>
      <c r="G531" s="143"/>
      <c r="H531" s="143"/>
      <c r="I531" s="143"/>
      <c r="J531" s="143"/>
      <c r="K531" s="143"/>
      <c r="L531" s="143"/>
      <c r="M531" s="143"/>
      <c r="N531" s="144"/>
      <c r="O531" s="3"/>
    </row>
    <row r="532" spans="1:64" ht="12.75">
      <c r="A532" s="74" t="s">
        <v>121</v>
      </c>
      <c r="B532" s="74" t="s">
        <v>283</v>
      </c>
      <c r="C532" s="74" t="s">
        <v>410</v>
      </c>
      <c r="D532" s="133" t="s">
        <v>940</v>
      </c>
      <c r="E532" s="134"/>
      <c r="F532" s="134"/>
      <c r="G532" s="135"/>
      <c r="H532" s="74" t="s">
        <v>1539</v>
      </c>
      <c r="I532" s="75">
        <v>420.42</v>
      </c>
      <c r="J532" s="75">
        <v>0</v>
      </c>
      <c r="K532" s="75">
        <f>I532*AO532</f>
        <v>0</v>
      </c>
      <c r="L532" s="75">
        <f>I532*AP532</f>
        <v>0</v>
      </c>
      <c r="M532" s="75">
        <f>I532*J532</f>
        <v>0</v>
      </c>
      <c r="N532" s="78" t="s">
        <v>1556</v>
      </c>
      <c r="O532" s="67"/>
      <c r="Z532" s="28">
        <f>IF(AQ532="5",BJ532,0)</f>
        <v>0</v>
      </c>
      <c r="AB532" s="28">
        <f>IF(AQ532="1",BH532,0)</f>
        <v>0</v>
      </c>
      <c r="AC532" s="28">
        <f>IF(AQ532="1",BI532,0)</f>
        <v>0</v>
      </c>
      <c r="AD532" s="28">
        <f>IF(AQ532="7",BH532,0)</f>
        <v>0</v>
      </c>
      <c r="AE532" s="28">
        <f>IF(AQ532="7",BI532,0)</f>
        <v>0</v>
      </c>
      <c r="AF532" s="28">
        <f>IF(AQ532="2",BH532,0)</f>
        <v>0</v>
      </c>
      <c r="AG532" s="28">
        <f>IF(AQ532="2",BI532,0)</f>
        <v>0</v>
      </c>
      <c r="AH532" s="28">
        <f>IF(AQ532="0",BJ532,0)</f>
        <v>0</v>
      </c>
      <c r="AI532" s="27" t="s">
        <v>283</v>
      </c>
      <c r="AJ532" s="18">
        <f>IF(AN532=0,M532,0)</f>
        <v>0</v>
      </c>
      <c r="AK532" s="18">
        <f>IF(AN532=15,M532,0)</f>
        <v>0</v>
      </c>
      <c r="AL532" s="18">
        <f>IF(AN532=21,M532,0)</f>
        <v>0</v>
      </c>
      <c r="AN532" s="28">
        <v>15</v>
      </c>
      <c r="AO532" s="28">
        <f>J532*0.093305954825462</f>
        <v>0</v>
      </c>
      <c r="AP532" s="28">
        <f>J532*(1-0.093305954825462)</f>
        <v>0</v>
      </c>
      <c r="AQ532" s="29" t="s">
        <v>13</v>
      </c>
      <c r="AV532" s="28">
        <f>AW532+AX532</f>
        <v>0</v>
      </c>
      <c r="AW532" s="28">
        <f>I532*AO532</f>
        <v>0</v>
      </c>
      <c r="AX532" s="28">
        <f>I532*AP532</f>
        <v>0</v>
      </c>
      <c r="AY532" s="31" t="s">
        <v>1592</v>
      </c>
      <c r="AZ532" s="31" t="s">
        <v>1622</v>
      </c>
      <c r="BA532" s="27" t="s">
        <v>1628</v>
      </c>
      <c r="BC532" s="28">
        <f>AW532+AX532</f>
        <v>0</v>
      </c>
      <c r="BD532" s="28">
        <f>J532/(100-BE532)*100</f>
        <v>0</v>
      </c>
      <c r="BE532" s="28">
        <v>0</v>
      </c>
      <c r="BF532" s="28">
        <f>532</f>
        <v>532</v>
      </c>
      <c r="BH532" s="18">
        <f>I532*AO532</f>
        <v>0</v>
      </c>
      <c r="BI532" s="18">
        <f>I532*AP532</f>
        <v>0</v>
      </c>
      <c r="BJ532" s="18">
        <f>I532*J532</f>
        <v>0</v>
      </c>
      <c r="BK532" s="18" t="s">
        <v>1634</v>
      </c>
      <c r="BL532" s="28">
        <v>763</v>
      </c>
    </row>
    <row r="533" spans="1:15" ht="12.75">
      <c r="A533" s="3"/>
      <c r="D533" s="136" t="s">
        <v>941</v>
      </c>
      <c r="E533" s="137"/>
      <c r="F533" s="137"/>
      <c r="G533" s="137"/>
      <c r="H533" s="137"/>
      <c r="I533" s="137"/>
      <c r="J533" s="137"/>
      <c r="K533" s="137"/>
      <c r="L533" s="137"/>
      <c r="M533" s="137"/>
      <c r="N533" s="138"/>
      <c r="O533" s="3"/>
    </row>
    <row r="534" spans="1:15" ht="12.75">
      <c r="A534" s="82"/>
      <c r="B534" s="83"/>
      <c r="C534" s="83"/>
      <c r="D534" s="85" t="s">
        <v>942</v>
      </c>
      <c r="G534" s="86" t="s">
        <v>1426</v>
      </c>
      <c r="H534" s="83"/>
      <c r="I534" s="88">
        <v>420.42</v>
      </c>
      <c r="J534" s="83"/>
      <c r="K534" s="83"/>
      <c r="L534" s="83"/>
      <c r="M534" s="83"/>
      <c r="N534" s="80"/>
      <c r="O534" s="67"/>
    </row>
    <row r="535" spans="1:15" ht="12.75">
      <c r="A535" s="3"/>
      <c r="C535" s="12" t="s">
        <v>296</v>
      </c>
      <c r="D535" s="142" t="s">
        <v>622</v>
      </c>
      <c r="E535" s="143"/>
      <c r="F535" s="143"/>
      <c r="G535" s="143"/>
      <c r="H535" s="143"/>
      <c r="I535" s="143"/>
      <c r="J535" s="143"/>
      <c r="K535" s="143"/>
      <c r="L535" s="143"/>
      <c r="M535" s="143"/>
      <c r="N535" s="144"/>
      <c r="O535" s="3"/>
    </row>
    <row r="536" spans="1:64" ht="12.75">
      <c r="A536" s="94" t="s">
        <v>122</v>
      </c>
      <c r="B536" s="94" t="s">
        <v>283</v>
      </c>
      <c r="C536" s="94" t="s">
        <v>411</v>
      </c>
      <c r="D536" s="148" t="s">
        <v>943</v>
      </c>
      <c r="E536" s="149"/>
      <c r="F536" s="149"/>
      <c r="G536" s="150"/>
      <c r="H536" s="94" t="s">
        <v>1535</v>
      </c>
      <c r="I536" s="95">
        <v>69.3693</v>
      </c>
      <c r="J536" s="95">
        <v>0</v>
      </c>
      <c r="K536" s="95">
        <f>I536*AO536</f>
        <v>0</v>
      </c>
      <c r="L536" s="95">
        <f>I536*AP536</f>
        <v>0</v>
      </c>
      <c r="M536" s="95">
        <f>I536*J536</f>
        <v>0</v>
      </c>
      <c r="N536" s="93" t="s">
        <v>1556</v>
      </c>
      <c r="O536" s="67"/>
      <c r="Z536" s="28">
        <f>IF(AQ536="5",BJ536,0)</f>
        <v>0</v>
      </c>
      <c r="AB536" s="28">
        <f>IF(AQ536="1",BH536,0)</f>
        <v>0</v>
      </c>
      <c r="AC536" s="28">
        <f>IF(AQ536="1",BI536,0)</f>
        <v>0</v>
      </c>
      <c r="AD536" s="28">
        <f>IF(AQ536="7",BH536,0)</f>
        <v>0</v>
      </c>
      <c r="AE536" s="28">
        <f>IF(AQ536="7",BI536,0)</f>
        <v>0</v>
      </c>
      <c r="AF536" s="28">
        <f>IF(AQ536="2",BH536,0)</f>
        <v>0</v>
      </c>
      <c r="AG536" s="28">
        <f>IF(AQ536="2",BI536,0)</f>
        <v>0</v>
      </c>
      <c r="AH536" s="28">
        <f>IF(AQ536="0",BJ536,0)</f>
        <v>0</v>
      </c>
      <c r="AI536" s="27" t="s">
        <v>283</v>
      </c>
      <c r="AJ536" s="20">
        <f>IF(AN536=0,M536,0)</f>
        <v>0</v>
      </c>
      <c r="AK536" s="20">
        <f>IF(AN536=15,M536,0)</f>
        <v>0</v>
      </c>
      <c r="AL536" s="20">
        <f>IF(AN536=21,M536,0)</f>
        <v>0</v>
      </c>
      <c r="AN536" s="28">
        <v>15</v>
      </c>
      <c r="AO536" s="28">
        <f>J536*1</f>
        <v>0</v>
      </c>
      <c r="AP536" s="28">
        <f>J536*(1-1)</f>
        <v>0</v>
      </c>
      <c r="AQ536" s="30" t="s">
        <v>13</v>
      </c>
      <c r="AV536" s="28">
        <f>AW536+AX536</f>
        <v>0</v>
      </c>
      <c r="AW536" s="28">
        <f>I536*AO536</f>
        <v>0</v>
      </c>
      <c r="AX536" s="28">
        <f>I536*AP536</f>
        <v>0</v>
      </c>
      <c r="AY536" s="31" t="s">
        <v>1592</v>
      </c>
      <c r="AZ536" s="31" t="s">
        <v>1622</v>
      </c>
      <c r="BA536" s="27" t="s">
        <v>1628</v>
      </c>
      <c r="BC536" s="28">
        <f>AW536+AX536</f>
        <v>0</v>
      </c>
      <c r="BD536" s="28">
        <f>J536/(100-BE536)*100</f>
        <v>0</v>
      </c>
      <c r="BE536" s="28">
        <v>0</v>
      </c>
      <c r="BF536" s="28">
        <f>536</f>
        <v>536</v>
      </c>
      <c r="BH536" s="20">
        <f>I536*AO536</f>
        <v>0</v>
      </c>
      <c r="BI536" s="20">
        <f>I536*AP536</f>
        <v>0</v>
      </c>
      <c r="BJ536" s="20">
        <f>I536*J536</f>
        <v>0</v>
      </c>
      <c r="BK536" s="20" t="s">
        <v>1635</v>
      </c>
      <c r="BL536" s="28">
        <v>763</v>
      </c>
    </row>
    <row r="537" spans="1:15" ht="12.75">
      <c r="A537" s="89"/>
      <c r="B537" s="90"/>
      <c r="C537" s="90"/>
      <c r="D537" s="84" t="s">
        <v>944</v>
      </c>
      <c r="G537" s="91" t="s">
        <v>1426</v>
      </c>
      <c r="H537" s="90"/>
      <c r="I537" s="92">
        <v>63.063</v>
      </c>
      <c r="J537" s="90"/>
      <c r="K537" s="90"/>
      <c r="L537" s="90"/>
      <c r="M537" s="90"/>
      <c r="N537" s="79"/>
      <c r="O537" s="67"/>
    </row>
    <row r="538" spans="1:15" ht="12.75">
      <c r="A538" s="82"/>
      <c r="B538" s="83"/>
      <c r="C538" s="83"/>
      <c r="D538" s="85" t="s">
        <v>945</v>
      </c>
      <c r="G538" s="86"/>
      <c r="H538" s="83"/>
      <c r="I538" s="88">
        <v>6.3063</v>
      </c>
      <c r="J538" s="83"/>
      <c r="K538" s="83"/>
      <c r="L538" s="83"/>
      <c r="M538" s="83"/>
      <c r="N538" s="80"/>
      <c r="O538" s="67"/>
    </row>
    <row r="539" spans="1:15" ht="12.75">
      <c r="A539" s="3"/>
      <c r="C539" s="13" t="s">
        <v>302</v>
      </c>
      <c r="D539" s="145" t="s">
        <v>946</v>
      </c>
      <c r="E539" s="146"/>
      <c r="F539" s="146"/>
      <c r="G539" s="146"/>
      <c r="H539" s="146"/>
      <c r="I539" s="146"/>
      <c r="J539" s="146"/>
      <c r="K539" s="146"/>
      <c r="L539" s="146"/>
      <c r="M539" s="146"/>
      <c r="N539" s="147"/>
      <c r="O539" s="3"/>
    </row>
    <row r="540" spans="1:15" ht="12.75">
      <c r="A540" s="3"/>
      <c r="C540" s="12" t="s">
        <v>296</v>
      </c>
      <c r="D540" s="142" t="s">
        <v>622</v>
      </c>
      <c r="E540" s="143"/>
      <c r="F540" s="143"/>
      <c r="G540" s="143"/>
      <c r="H540" s="143"/>
      <c r="I540" s="143"/>
      <c r="J540" s="143"/>
      <c r="K540" s="143"/>
      <c r="L540" s="143"/>
      <c r="M540" s="143"/>
      <c r="N540" s="144"/>
      <c r="O540" s="3"/>
    </row>
    <row r="541" spans="1:64" ht="12.75">
      <c r="A541" s="4" t="s">
        <v>123</v>
      </c>
      <c r="B541" s="10" t="s">
        <v>283</v>
      </c>
      <c r="C541" s="10" t="s">
        <v>412</v>
      </c>
      <c r="D541" s="151" t="s">
        <v>947</v>
      </c>
      <c r="E541" s="149"/>
      <c r="F541" s="149"/>
      <c r="G541" s="149"/>
      <c r="H541" s="10" t="s">
        <v>1536</v>
      </c>
      <c r="I541" s="20">
        <v>0.48157</v>
      </c>
      <c r="J541" s="20">
        <v>0</v>
      </c>
      <c r="K541" s="20">
        <f>I541*AO541</f>
        <v>0</v>
      </c>
      <c r="L541" s="20">
        <f>I541*AP541</f>
        <v>0</v>
      </c>
      <c r="M541" s="20">
        <f>I541*J541</f>
        <v>0</v>
      </c>
      <c r="N541" s="25" t="s">
        <v>1557</v>
      </c>
      <c r="O541" s="3"/>
      <c r="Z541" s="28">
        <f>IF(AQ541="5",BJ541,0)</f>
        <v>0</v>
      </c>
      <c r="AB541" s="28">
        <f>IF(AQ541="1",BH541,0)</f>
        <v>0</v>
      </c>
      <c r="AC541" s="28">
        <f>IF(AQ541="1",BI541,0)</f>
        <v>0</v>
      </c>
      <c r="AD541" s="28">
        <f>IF(AQ541="7",BH541,0)</f>
        <v>0</v>
      </c>
      <c r="AE541" s="28">
        <f>IF(AQ541="7",BI541,0)</f>
        <v>0</v>
      </c>
      <c r="AF541" s="28">
        <f>IF(AQ541="2",BH541,0)</f>
        <v>0</v>
      </c>
      <c r="AG541" s="28">
        <f>IF(AQ541="2",BI541,0)</f>
        <v>0</v>
      </c>
      <c r="AH541" s="28">
        <f>IF(AQ541="0",BJ541,0)</f>
        <v>0</v>
      </c>
      <c r="AI541" s="27" t="s">
        <v>283</v>
      </c>
      <c r="AJ541" s="20">
        <f>IF(AN541=0,M541,0)</f>
        <v>0</v>
      </c>
      <c r="AK541" s="20">
        <f>IF(AN541=15,M541,0)</f>
        <v>0</v>
      </c>
      <c r="AL541" s="20">
        <f>IF(AN541=21,M541,0)</f>
        <v>0</v>
      </c>
      <c r="AN541" s="28">
        <v>15</v>
      </c>
      <c r="AO541" s="28">
        <f>J541*1</f>
        <v>0</v>
      </c>
      <c r="AP541" s="28">
        <f>J541*(1-1)</f>
        <v>0</v>
      </c>
      <c r="AQ541" s="30" t="s">
        <v>13</v>
      </c>
      <c r="AV541" s="28">
        <f>AW541+AX541</f>
        <v>0</v>
      </c>
      <c r="AW541" s="28">
        <f>I541*AO541</f>
        <v>0</v>
      </c>
      <c r="AX541" s="28">
        <f>I541*AP541</f>
        <v>0</v>
      </c>
      <c r="AY541" s="31" t="s">
        <v>1592</v>
      </c>
      <c r="AZ541" s="31" t="s">
        <v>1622</v>
      </c>
      <c r="BA541" s="27" t="s">
        <v>1628</v>
      </c>
      <c r="BC541" s="28">
        <f>AW541+AX541</f>
        <v>0</v>
      </c>
      <c r="BD541" s="28">
        <f>J541/(100-BE541)*100</f>
        <v>0</v>
      </c>
      <c r="BE541" s="28">
        <v>0</v>
      </c>
      <c r="BF541" s="28">
        <f>541</f>
        <v>541</v>
      </c>
      <c r="BH541" s="20">
        <f>I541*AO541</f>
        <v>0</v>
      </c>
      <c r="BI541" s="20">
        <f>I541*AP541</f>
        <v>0</v>
      </c>
      <c r="BJ541" s="20">
        <f>I541*J541</f>
        <v>0</v>
      </c>
      <c r="BK541" s="20" t="s">
        <v>1635</v>
      </c>
      <c r="BL541" s="28">
        <v>763</v>
      </c>
    </row>
    <row r="542" spans="1:15" ht="12.75">
      <c r="A542" s="3"/>
      <c r="D542" s="14" t="s">
        <v>948</v>
      </c>
      <c r="G542" s="16" t="s">
        <v>1426</v>
      </c>
      <c r="I542" s="19">
        <v>0.45864</v>
      </c>
      <c r="N542" s="24"/>
      <c r="O542" s="3"/>
    </row>
    <row r="543" spans="1:15" ht="12.75">
      <c r="A543" s="3"/>
      <c r="D543" s="14" t="s">
        <v>949</v>
      </c>
      <c r="G543" s="16"/>
      <c r="I543" s="19">
        <v>0.02293</v>
      </c>
      <c r="N543" s="24"/>
      <c r="O543" s="3"/>
    </row>
    <row r="544" spans="1:64" ht="12.75">
      <c r="A544" s="81" t="s">
        <v>124</v>
      </c>
      <c r="B544" s="81" t="s">
        <v>283</v>
      </c>
      <c r="C544" s="81" t="s">
        <v>413</v>
      </c>
      <c r="D544" s="139" t="s">
        <v>950</v>
      </c>
      <c r="E544" s="134"/>
      <c r="F544" s="134"/>
      <c r="G544" s="140"/>
      <c r="H544" s="81" t="s">
        <v>1540</v>
      </c>
      <c r="I544" s="87">
        <v>2361.14</v>
      </c>
      <c r="J544" s="87">
        <v>0</v>
      </c>
      <c r="K544" s="87">
        <f>I544*AO544</f>
        <v>0</v>
      </c>
      <c r="L544" s="87">
        <f>I544*AP544</f>
        <v>0</v>
      </c>
      <c r="M544" s="87">
        <f>I544*J544</f>
        <v>0</v>
      </c>
      <c r="N544" s="77" t="s">
        <v>1556</v>
      </c>
      <c r="O544" s="67"/>
      <c r="Z544" s="28">
        <f>IF(AQ544="5",BJ544,0)</f>
        <v>0</v>
      </c>
      <c r="AB544" s="28">
        <f>IF(AQ544="1",BH544,0)</f>
        <v>0</v>
      </c>
      <c r="AC544" s="28">
        <f>IF(AQ544="1",BI544,0)</f>
        <v>0</v>
      </c>
      <c r="AD544" s="28">
        <f>IF(AQ544="7",BH544,0)</f>
        <v>0</v>
      </c>
      <c r="AE544" s="28">
        <f>IF(AQ544="7",BI544,0)</f>
        <v>0</v>
      </c>
      <c r="AF544" s="28">
        <f>IF(AQ544="2",BH544,0)</f>
        <v>0</v>
      </c>
      <c r="AG544" s="28">
        <f>IF(AQ544="2",BI544,0)</f>
        <v>0</v>
      </c>
      <c r="AH544" s="28">
        <f>IF(AQ544="0",BJ544,0)</f>
        <v>0</v>
      </c>
      <c r="AI544" s="27" t="s">
        <v>283</v>
      </c>
      <c r="AJ544" s="18">
        <f>IF(AN544=0,M544,0)</f>
        <v>0</v>
      </c>
      <c r="AK544" s="18">
        <f>IF(AN544=15,M544,0)</f>
        <v>0</v>
      </c>
      <c r="AL544" s="18">
        <f>IF(AN544=21,M544,0)</f>
        <v>0</v>
      </c>
      <c r="AN544" s="28">
        <v>15</v>
      </c>
      <c r="AO544" s="28">
        <f>J544*0</f>
        <v>0</v>
      </c>
      <c r="AP544" s="28">
        <f>J544*(1-0)</f>
        <v>0</v>
      </c>
      <c r="AQ544" s="29" t="s">
        <v>11</v>
      </c>
      <c r="AV544" s="28">
        <f>AW544+AX544</f>
        <v>0</v>
      </c>
      <c r="AW544" s="28">
        <f>I544*AO544</f>
        <v>0</v>
      </c>
      <c r="AX544" s="28">
        <f>I544*AP544</f>
        <v>0</v>
      </c>
      <c r="AY544" s="31" t="s">
        <v>1592</v>
      </c>
      <c r="AZ544" s="31" t="s">
        <v>1622</v>
      </c>
      <c r="BA544" s="27" t="s">
        <v>1628</v>
      </c>
      <c r="BC544" s="28">
        <f>AW544+AX544</f>
        <v>0</v>
      </c>
      <c r="BD544" s="28">
        <f>J544/(100-BE544)*100</f>
        <v>0</v>
      </c>
      <c r="BE544" s="28">
        <v>0</v>
      </c>
      <c r="BF544" s="28">
        <f>544</f>
        <v>544</v>
      </c>
      <c r="BH544" s="18">
        <f>I544*AO544</f>
        <v>0</v>
      </c>
      <c r="BI544" s="18">
        <f>I544*AP544</f>
        <v>0</v>
      </c>
      <c r="BJ544" s="18">
        <f>I544*J544</f>
        <v>0</v>
      </c>
      <c r="BK544" s="18" t="s">
        <v>1634</v>
      </c>
      <c r="BL544" s="28">
        <v>763</v>
      </c>
    </row>
    <row r="545" spans="1:15" ht="12.75">
      <c r="A545" s="89"/>
      <c r="B545" s="90"/>
      <c r="C545" s="90"/>
      <c r="D545" s="84" t="s">
        <v>951</v>
      </c>
      <c r="G545" s="91"/>
      <c r="H545" s="90"/>
      <c r="I545" s="92">
        <v>2361.14</v>
      </c>
      <c r="J545" s="90"/>
      <c r="K545" s="90"/>
      <c r="L545" s="90"/>
      <c r="M545" s="90"/>
      <c r="N545" s="79"/>
      <c r="O545" s="67"/>
    </row>
    <row r="546" spans="1:47" ht="12.75">
      <c r="A546" s="72"/>
      <c r="B546" s="73" t="s">
        <v>283</v>
      </c>
      <c r="C546" s="73" t="s">
        <v>414</v>
      </c>
      <c r="D546" s="130" t="s">
        <v>952</v>
      </c>
      <c r="E546" s="131"/>
      <c r="F546" s="131"/>
      <c r="G546" s="132"/>
      <c r="H546" s="72" t="s">
        <v>6</v>
      </c>
      <c r="I546" s="72" t="s">
        <v>6</v>
      </c>
      <c r="J546" s="72" t="s">
        <v>6</v>
      </c>
      <c r="K546" s="76">
        <f>SUM(K547:K655)</f>
        <v>0</v>
      </c>
      <c r="L546" s="76">
        <f>SUM(L547:L655)</f>
        <v>0</v>
      </c>
      <c r="M546" s="76">
        <f>SUM(M547:M655)</f>
        <v>0</v>
      </c>
      <c r="N546" s="71"/>
      <c r="O546" s="67"/>
      <c r="AI546" s="27" t="s">
        <v>283</v>
      </c>
      <c r="AS546" s="33">
        <f>SUM(AJ547:AJ655)</f>
        <v>0</v>
      </c>
      <c r="AT546" s="33">
        <f>SUM(AK547:AK655)</f>
        <v>0</v>
      </c>
      <c r="AU546" s="33">
        <f>SUM(AL547:AL655)</f>
        <v>0</v>
      </c>
    </row>
    <row r="547" spans="1:64" ht="12.75">
      <c r="A547" s="74" t="s">
        <v>125</v>
      </c>
      <c r="B547" s="74" t="s">
        <v>283</v>
      </c>
      <c r="C547" s="74" t="s">
        <v>415</v>
      </c>
      <c r="D547" s="133" t="s">
        <v>953</v>
      </c>
      <c r="E547" s="134"/>
      <c r="F547" s="134"/>
      <c r="G547" s="135"/>
      <c r="H547" s="74" t="s">
        <v>1539</v>
      </c>
      <c r="I547" s="75">
        <v>64.8</v>
      </c>
      <c r="J547" s="75">
        <v>0</v>
      </c>
      <c r="K547" s="75">
        <f>I547*AO547</f>
        <v>0</v>
      </c>
      <c r="L547" s="75">
        <f>I547*AP547</f>
        <v>0</v>
      </c>
      <c r="M547" s="75">
        <f>I547*J547</f>
        <v>0</v>
      </c>
      <c r="N547" s="78" t="s">
        <v>1556</v>
      </c>
      <c r="O547" s="67"/>
      <c r="Z547" s="28">
        <f>IF(AQ547="5",BJ547,0)</f>
        <v>0</v>
      </c>
      <c r="AB547" s="28">
        <f>IF(AQ547="1",BH547,0)</f>
        <v>0</v>
      </c>
      <c r="AC547" s="28">
        <f>IF(AQ547="1",BI547,0)</f>
        <v>0</v>
      </c>
      <c r="AD547" s="28">
        <f>IF(AQ547="7",BH547,0)</f>
        <v>0</v>
      </c>
      <c r="AE547" s="28">
        <f>IF(AQ547="7",BI547,0)</f>
        <v>0</v>
      </c>
      <c r="AF547" s="28">
        <f>IF(AQ547="2",BH547,0)</f>
        <v>0</v>
      </c>
      <c r="AG547" s="28">
        <f>IF(AQ547="2",BI547,0)</f>
        <v>0</v>
      </c>
      <c r="AH547" s="28">
        <f>IF(AQ547="0",BJ547,0)</f>
        <v>0</v>
      </c>
      <c r="AI547" s="27" t="s">
        <v>283</v>
      </c>
      <c r="AJ547" s="18">
        <f>IF(AN547=0,M547,0)</f>
        <v>0</v>
      </c>
      <c r="AK547" s="18">
        <f>IF(AN547=15,M547,0)</f>
        <v>0</v>
      </c>
      <c r="AL547" s="18">
        <f>IF(AN547=21,M547,0)</f>
        <v>0</v>
      </c>
      <c r="AN547" s="28">
        <v>15</v>
      </c>
      <c r="AO547" s="28">
        <f>J547*0.696656534954407</f>
        <v>0</v>
      </c>
      <c r="AP547" s="28">
        <f>J547*(1-0.696656534954407)</f>
        <v>0</v>
      </c>
      <c r="AQ547" s="29" t="s">
        <v>13</v>
      </c>
      <c r="AV547" s="28">
        <f>AW547+AX547</f>
        <v>0</v>
      </c>
      <c r="AW547" s="28">
        <f>I547*AO547</f>
        <v>0</v>
      </c>
      <c r="AX547" s="28">
        <f>I547*AP547</f>
        <v>0</v>
      </c>
      <c r="AY547" s="31" t="s">
        <v>1593</v>
      </c>
      <c r="AZ547" s="31" t="s">
        <v>1622</v>
      </c>
      <c r="BA547" s="27" t="s">
        <v>1628</v>
      </c>
      <c r="BC547" s="28">
        <f>AW547+AX547</f>
        <v>0</v>
      </c>
      <c r="BD547" s="28">
        <f>J547/(100-BE547)*100</f>
        <v>0</v>
      </c>
      <c r="BE547" s="28">
        <v>0</v>
      </c>
      <c r="BF547" s="28">
        <f>547</f>
        <v>547</v>
      </c>
      <c r="BH547" s="18">
        <f>I547*AO547</f>
        <v>0</v>
      </c>
      <c r="BI547" s="18">
        <f>I547*AP547</f>
        <v>0</v>
      </c>
      <c r="BJ547" s="18">
        <f>I547*J547</f>
        <v>0</v>
      </c>
      <c r="BK547" s="18" t="s">
        <v>1634</v>
      </c>
      <c r="BL547" s="28">
        <v>764</v>
      </c>
    </row>
    <row r="548" spans="1:15" ht="25.5" customHeight="1">
      <c r="A548" s="3"/>
      <c r="D548" s="136" t="s">
        <v>954</v>
      </c>
      <c r="E548" s="137"/>
      <c r="F548" s="137"/>
      <c r="G548" s="137"/>
      <c r="H548" s="137"/>
      <c r="I548" s="137"/>
      <c r="J548" s="137"/>
      <c r="K548" s="137"/>
      <c r="L548" s="137"/>
      <c r="M548" s="137"/>
      <c r="N548" s="138"/>
      <c r="O548" s="3"/>
    </row>
    <row r="549" spans="1:15" ht="12.75">
      <c r="A549" s="89"/>
      <c r="B549" s="90"/>
      <c r="C549" s="90"/>
      <c r="D549" s="84" t="s">
        <v>800</v>
      </c>
      <c r="G549" s="91" t="s">
        <v>1427</v>
      </c>
      <c r="H549" s="90"/>
      <c r="I549" s="92">
        <v>26.4</v>
      </c>
      <c r="J549" s="90"/>
      <c r="K549" s="90"/>
      <c r="L549" s="90"/>
      <c r="M549" s="90"/>
      <c r="N549" s="79"/>
      <c r="O549" s="67"/>
    </row>
    <row r="550" spans="1:15" ht="12.75">
      <c r="A550" s="89"/>
      <c r="B550" s="90"/>
      <c r="C550" s="90"/>
      <c r="D550" s="84" t="s">
        <v>808</v>
      </c>
      <c r="G550" s="91" t="s">
        <v>1428</v>
      </c>
      <c r="H550" s="90"/>
      <c r="I550" s="92">
        <v>12</v>
      </c>
      <c r="J550" s="90"/>
      <c r="K550" s="90"/>
      <c r="L550" s="90"/>
      <c r="M550" s="90"/>
      <c r="N550" s="79"/>
      <c r="O550" s="67"/>
    </row>
    <row r="551" spans="1:15" ht="12.75">
      <c r="A551" s="89"/>
      <c r="B551" s="90"/>
      <c r="C551" s="90"/>
      <c r="D551" s="84" t="s">
        <v>801</v>
      </c>
      <c r="G551" s="91" t="s">
        <v>1429</v>
      </c>
      <c r="H551" s="90"/>
      <c r="I551" s="92">
        <v>3.6</v>
      </c>
      <c r="J551" s="90"/>
      <c r="K551" s="90"/>
      <c r="L551" s="90"/>
      <c r="M551" s="90"/>
      <c r="N551" s="79"/>
      <c r="O551" s="67"/>
    </row>
    <row r="552" spans="1:15" ht="12.75">
      <c r="A552" s="89"/>
      <c r="B552" s="90"/>
      <c r="C552" s="90"/>
      <c r="D552" s="84" t="s">
        <v>802</v>
      </c>
      <c r="G552" s="91" t="s">
        <v>1430</v>
      </c>
      <c r="H552" s="90"/>
      <c r="I552" s="92">
        <v>2.4</v>
      </c>
      <c r="J552" s="90"/>
      <c r="K552" s="90"/>
      <c r="L552" s="90"/>
      <c r="M552" s="90"/>
      <c r="N552" s="79"/>
      <c r="O552" s="67"/>
    </row>
    <row r="553" spans="1:15" ht="12.75">
      <c r="A553" s="89"/>
      <c r="B553" s="90"/>
      <c r="C553" s="90"/>
      <c r="D553" s="84" t="s">
        <v>804</v>
      </c>
      <c r="G553" s="91" t="s">
        <v>1431</v>
      </c>
      <c r="H553" s="90"/>
      <c r="I553" s="92">
        <v>18</v>
      </c>
      <c r="J553" s="90"/>
      <c r="K553" s="90"/>
      <c r="L553" s="90"/>
      <c r="M553" s="90"/>
      <c r="N553" s="79"/>
      <c r="O553" s="67"/>
    </row>
    <row r="554" spans="1:15" ht="12.75">
      <c r="A554" s="89"/>
      <c r="B554" s="90"/>
      <c r="C554" s="90"/>
      <c r="D554" s="84" t="s">
        <v>805</v>
      </c>
      <c r="G554" s="91" t="s">
        <v>1432</v>
      </c>
      <c r="H554" s="90"/>
      <c r="I554" s="92">
        <v>1.2</v>
      </c>
      <c r="J554" s="90"/>
      <c r="K554" s="90"/>
      <c r="L554" s="90"/>
      <c r="M554" s="90"/>
      <c r="N554" s="79"/>
      <c r="O554" s="67"/>
    </row>
    <row r="555" spans="1:15" ht="12.75">
      <c r="A555" s="82"/>
      <c r="B555" s="83"/>
      <c r="C555" s="83"/>
      <c r="D555" s="85" t="s">
        <v>806</v>
      </c>
      <c r="G555" s="86" t="s">
        <v>1433</v>
      </c>
      <c r="H555" s="83"/>
      <c r="I555" s="88">
        <v>1.2</v>
      </c>
      <c r="J555" s="83"/>
      <c r="K555" s="83"/>
      <c r="L555" s="83"/>
      <c r="M555" s="83"/>
      <c r="N555" s="80"/>
      <c r="O555" s="67"/>
    </row>
    <row r="556" spans="1:15" ht="12.75">
      <c r="A556" s="3"/>
      <c r="C556" s="13" t="s">
        <v>302</v>
      </c>
      <c r="D556" s="145" t="s">
        <v>955</v>
      </c>
      <c r="E556" s="146"/>
      <c r="F556" s="146"/>
      <c r="G556" s="146"/>
      <c r="H556" s="146"/>
      <c r="I556" s="146"/>
      <c r="J556" s="146"/>
      <c r="K556" s="146"/>
      <c r="L556" s="146"/>
      <c r="M556" s="146"/>
      <c r="N556" s="147"/>
      <c r="O556" s="3"/>
    </row>
    <row r="557" spans="1:15" ht="12.75">
      <c r="A557" s="3"/>
      <c r="C557" s="12" t="s">
        <v>296</v>
      </c>
      <c r="D557" s="142" t="s">
        <v>956</v>
      </c>
      <c r="E557" s="143"/>
      <c r="F557" s="143"/>
      <c r="G557" s="143"/>
      <c r="H557" s="143"/>
      <c r="I557" s="143"/>
      <c r="J557" s="143"/>
      <c r="K557" s="143"/>
      <c r="L557" s="143"/>
      <c r="M557" s="143"/>
      <c r="N557" s="144"/>
      <c r="O557" s="3"/>
    </row>
    <row r="558" spans="1:64" ht="12.75">
      <c r="A558" s="81" t="s">
        <v>126</v>
      </c>
      <c r="B558" s="81" t="s">
        <v>283</v>
      </c>
      <c r="C558" s="81" t="s">
        <v>416</v>
      </c>
      <c r="D558" s="139" t="s">
        <v>957</v>
      </c>
      <c r="E558" s="134"/>
      <c r="F558" s="134"/>
      <c r="G558" s="140"/>
      <c r="H558" s="81" t="s">
        <v>1539</v>
      </c>
      <c r="I558" s="87">
        <v>69.3</v>
      </c>
      <c r="J558" s="87">
        <v>0</v>
      </c>
      <c r="K558" s="87">
        <f>I558*AO558</f>
        <v>0</v>
      </c>
      <c r="L558" s="87">
        <f>I558*AP558</f>
        <v>0</v>
      </c>
      <c r="M558" s="87">
        <f>I558*J558</f>
        <v>0</v>
      </c>
      <c r="N558" s="77" t="s">
        <v>1556</v>
      </c>
      <c r="O558" s="67"/>
      <c r="Z558" s="28">
        <f>IF(AQ558="5",BJ558,0)</f>
        <v>0</v>
      </c>
      <c r="AB558" s="28">
        <f>IF(AQ558="1",BH558,0)</f>
        <v>0</v>
      </c>
      <c r="AC558" s="28">
        <f>IF(AQ558="1",BI558,0)</f>
        <v>0</v>
      </c>
      <c r="AD558" s="28">
        <f>IF(AQ558="7",BH558,0)</f>
        <v>0</v>
      </c>
      <c r="AE558" s="28">
        <f>IF(AQ558="7",BI558,0)</f>
        <v>0</v>
      </c>
      <c r="AF558" s="28">
        <f>IF(AQ558="2",BH558,0)</f>
        <v>0</v>
      </c>
      <c r="AG558" s="28">
        <f>IF(AQ558="2",BI558,0)</f>
        <v>0</v>
      </c>
      <c r="AH558" s="28">
        <f>IF(AQ558="0",BJ558,0)</f>
        <v>0</v>
      </c>
      <c r="AI558" s="27" t="s">
        <v>283</v>
      </c>
      <c r="AJ558" s="18">
        <f>IF(AN558=0,M558,0)</f>
        <v>0</v>
      </c>
      <c r="AK558" s="18">
        <f>IF(AN558=15,M558,0)</f>
        <v>0</v>
      </c>
      <c r="AL558" s="18">
        <f>IF(AN558=21,M558,0)</f>
        <v>0</v>
      </c>
      <c r="AN558" s="28">
        <v>15</v>
      </c>
      <c r="AO558" s="28">
        <f>J558*0</f>
        <v>0</v>
      </c>
      <c r="AP558" s="28">
        <f>J558*(1-0)</f>
        <v>0</v>
      </c>
      <c r="AQ558" s="29" t="s">
        <v>13</v>
      </c>
      <c r="AV558" s="28">
        <f>AW558+AX558</f>
        <v>0</v>
      </c>
      <c r="AW558" s="28">
        <f>I558*AO558</f>
        <v>0</v>
      </c>
      <c r="AX558" s="28">
        <f>I558*AP558</f>
        <v>0</v>
      </c>
      <c r="AY558" s="31" t="s">
        <v>1593</v>
      </c>
      <c r="AZ558" s="31" t="s">
        <v>1622</v>
      </c>
      <c r="BA558" s="27" t="s">
        <v>1628</v>
      </c>
      <c r="BC558" s="28">
        <f>AW558+AX558</f>
        <v>0</v>
      </c>
      <c r="BD558" s="28">
        <f>J558/(100-BE558)*100</f>
        <v>0</v>
      </c>
      <c r="BE558" s="28">
        <v>0</v>
      </c>
      <c r="BF558" s="28">
        <f>558</f>
        <v>558</v>
      </c>
      <c r="BH558" s="18">
        <f>I558*AO558</f>
        <v>0</v>
      </c>
      <c r="BI558" s="18">
        <f>I558*AP558</f>
        <v>0</v>
      </c>
      <c r="BJ558" s="18">
        <f>I558*J558</f>
        <v>0</v>
      </c>
      <c r="BK558" s="18" t="s">
        <v>1634</v>
      </c>
      <c r="BL558" s="28">
        <v>764</v>
      </c>
    </row>
    <row r="559" spans="1:15" ht="12.75">
      <c r="A559" s="82"/>
      <c r="B559" s="83"/>
      <c r="C559" s="83"/>
      <c r="D559" s="85" t="s">
        <v>958</v>
      </c>
      <c r="G559" s="86" t="s">
        <v>1434</v>
      </c>
      <c r="H559" s="83"/>
      <c r="I559" s="88">
        <v>69.3</v>
      </c>
      <c r="J559" s="83"/>
      <c r="K559" s="83"/>
      <c r="L559" s="83"/>
      <c r="M559" s="83"/>
      <c r="N559" s="80"/>
      <c r="O559" s="67"/>
    </row>
    <row r="560" spans="1:15" ht="12.75">
      <c r="A560" s="3"/>
      <c r="C560" s="12" t="s">
        <v>296</v>
      </c>
      <c r="D560" s="142" t="s">
        <v>877</v>
      </c>
      <c r="E560" s="143"/>
      <c r="F560" s="143"/>
      <c r="G560" s="143"/>
      <c r="H560" s="143"/>
      <c r="I560" s="143"/>
      <c r="J560" s="143"/>
      <c r="K560" s="143"/>
      <c r="L560" s="143"/>
      <c r="M560" s="143"/>
      <c r="N560" s="144"/>
      <c r="O560" s="3"/>
    </row>
    <row r="561" spans="1:64" ht="12.75">
      <c r="A561" s="74" t="s">
        <v>127</v>
      </c>
      <c r="B561" s="74" t="s">
        <v>283</v>
      </c>
      <c r="C561" s="74" t="s">
        <v>417</v>
      </c>
      <c r="D561" s="133" t="s">
        <v>959</v>
      </c>
      <c r="E561" s="134"/>
      <c r="F561" s="134"/>
      <c r="G561" s="135"/>
      <c r="H561" s="74" t="s">
        <v>1539</v>
      </c>
      <c r="I561" s="75">
        <v>76.19</v>
      </c>
      <c r="J561" s="75">
        <v>0</v>
      </c>
      <c r="K561" s="75">
        <f>I561*AO561</f>
        <v>0</v>
      </c>
      <c r="L561" s="75">
        <f>I561*AP561</f>
        <v>0</v>
      </c>
      <c r="M561" s="75">
        <f>I561*J561</f>
        <v>0</v>
      </c>
      <c r="N561" s="78" t="s">
        <v>1556</v>
      </c>
      <c r="O561" s="67"/>
      <c r="Z561" s="28">
        <f>IF(AQ561="5",BJ561,0)</f>
        <v>0</v>
      </c>
      <c r="AB561" s="28">
        <f>IF(AQ561="1",BH561,0)</f>
        <v>0</v>
      </c>
      <c r="AC561" s="28">
        <f>IF(AQ561="1",BI561,0)</f>
        <v>0</v>
      </c>
      <c r="AD561" s="28">
        <f>IF(AQ561="7",BH561,0)</f>
        <v>0</v>
      </c>
      <c r="AE561" s="28">
        <f>IF(AQ561="7",BI561,0)</f>
        <v>0</v>
      </c>
      <c r="AF561" s="28">
        <f>IF(AQ561="2",BH561,0)</f>
        <v>0</v>
      </c>
      <c r="AG561" s="28">
        <f>IF(AQ561="2",BI561,0)</f>
        <v>0</v>
      </c>
      <c r="AH561" s="28">
        <f>IF(AQ561="0",BJ561,0)</f>
        <v>0</v>
      </c>
      <c r="AI561" s="27" t="s">
        <v>283</v>
      </c>
      <c r="AJ561" s="18">
        <f>IF(AN561=0,M561,0)</f>
        <v>0</v>
      </c>
      <c r="AK561" s="18">
        <f>IF(AN561=15,M561,0)</f>
        <v>0</v>
      </c>
      <c r="AL561" s="18">
        <f>IF(AN561=21,M561,0)</f>
        <v>0</v>
      </c>
      <c r="AN561" s="28">
        <v>15</v>
      </c>
      <c r="AO561" s="28">
        <f>J561*0</f>
        <v>0</v>
      </c>
      <c r="AP561" s="28">
        <f>J561*(1-0)</f>
        <v>0</v>
      </c>
      <c r="AQ561" s="29" t="s">
        <v>13</v>
      </c>
      <c r="AV561" s="28">
        <f>AW561+AX561</f>
        <v>0</v>
      </c>
      <c r="AW561" s="28">
        <f>I561*AO561</f>
        <v>0</v>
      </c>
      <c r="AX561" s="28">
        <f>I561*AP561</f>
        <v>0</v>
      </c>
      <c r="AY561" s="31" t="s">
        <v>1593</v>
      </c>
      <c r="AZ561" s="31" t="s">
        <v>1622</v>
      </c>
      <c r="BA561" s="27" t="s">
        <v>1628</v>
      </c>
      <c r="BC561" s="28">
        <f>AW561+AX561</f>
        <v>0</v>
      </c>
      <c r="BD561" s="28">
        <f>J561/(100-BE561)*100</f>
        <v>0</v>
      </c>
      <c r="BE561" s="28">
        <v>0</v>
      </c>
      <c r="BF561" s="28">
        <f>561</f>
        <v>561</v>
      </c>
      <c r="BH561" s="18">
        <f>I561*AO561</f>
        <v>0</v>
      </c>
      <c r="BI561" s="18">
        <f>I561*AP561</f>
        <v>0</v>
      </c>
      <c r="BJ561" s="18">
        <f>I561*J561</f>
        <v>0</v>
      </c>
      <c r="BK561" s="18" t="s">
        <v>1634</v>
      </c>
      <c r="BL561" s="28">
        <v>764</v>
      </c>
    </row>
    <row r="562" spans="1:15" ht="25.5" customHeight="1">
      <c r="A562" s="3"/>
      <c r="D562" s="136" t="s">
        <v>960</v>
      </c>
      <c r="E562" s="137"/>
      <c r="F562" s="137"/>
      <c r="G562" s="137"/>
      <c r="H562" s="137"/>
      <c r="I562" s="137"/>
      <c r="J562" s="137"/>
      <c r="K562" s="137"/>
      <c r="L562" s="137"/>
      <c r="M562" s="137"/>
      <c r="N562" s="138"/>
      <c r="O562" s="3"/>
    </row>
    <row r="563" spans="1:15" ht="12.75">
      <c r="A563" s="89"/>
      <c r="B563" s="90"/>
      <c r="C563" s="90"/>
      <c r="D563" s="84" t="s">
        <v>961</v>
      </c>
      <c r="G563" s="91" t="s">
        <v>1435</v>
      </c>
      <c r="H563" s="90"/>
      <c r="I563" s="92">
        <v>54.05</v>
      </c>
      <c r="J563" s="90"/>
      <c r="K563" s="90"/>
      <c r="L563" s="90"/>
      <c r="M563" s="90"/>
      <c r="N563" s="79"/>
      <c r="O563" s="67"/>
    </row>
    <row r="564" spans="1:15" ht="12.75">
      <c r="A564" s="82"/>
      <c r="B564" s="83"/>
      <c r="C564" s="83"/>
      <c r="D564" s="85" t="s">
        <v>962</v>
      </c>
      <c r="G564" s="86" t="s">
        <v>1436</v>
      </c>
      <c r="H564" s="83"/>
      <c r="I564" s="88">
        <v>22.14</v>
      </c>
      <c r="J564" s="83"/>
      <c r="K564" s="83"/>
      <c r="L564" s="83"/>
      <c r="M564" s="83"/>
      <c r="N564" s="80"/>
      <c r="O564" s="67"/>
    </row>
    <row r="565" spans="1:15" ht="12.75">
      <c r="A565" s="3"/>
      <c r="C565" s="13" t="s">
        <v>302</v>
      </c>
      <c r="D565" s="145" t="s">
        <v>963</v>
      </c>
      <c r="E565" s="146"/>
      <c r="F565" s="146"/>
      <c r="G565" s="146"/>
      <c r="H565" s="146"/>
      <c r="I565" s="146"/>
      <c r="J565" s="146"/>
      <c r="K565" s="146"/>
      <c r="L565" s="146"/>
      <c r="M565" s="146"/>
      <c r="N565" s="147"/>
      <c r="O565" s="3"/>
    </row>
    <row r="566" spans="1:15" ht="12.75">
      <c r="A566" s="3"/>
      <c r="C566" s="12" t="s">
        <v>296</v>
      </c>
      <c r="D566" s="142" t="s">
        <v>877</v>
      </c>
      <c r="E566" s="143"/>
      <c r="F566" s="143"/>
      <c r="G566" s="143"/>
      <c r="H566" s="143"/>
      <c r="I566" s="143"/>
      <c r="J566" s="143"/>
      <c r="K566" s="143"/>
      <c r="L566" s="143"/>
      <c r="M566" s="143"/>
      <c r="N566" s="144"/>
      <c r="O566" s="3"/>
    </row>
    <row r="567" spans="1:64" ht="12.75">
      <c r="A567" s="74" t="s">
        <v>128</v>
      </c>
      <c r="B567" s="74" t="s">
        <v>283</v>
      </c>
      <c r="C567" s="74" t="s">
        <v>418</v>
      </c>
      <c r="D567" s="133" t="s">
        <v>964</v>
      </c>
      <c r="E567" s="134"/>
      <c r="F567" s="134"/>
      <c r="G567" s="135"/>
      <c r="H567" s="74" t="s">
        <v>1539</v>
      </c>
      <c r="I567" s="75">
        <v>55.3</v>
      </c>
      <c r="J567" s="75">
        <v>0</v>
      </c>
      <c r="K567" s="75">
        <f>I567*AO567</f>
        <v>0</v>
      </c>
      <c r="L567" s="75">
        <f>I567*AP567</f>
        <v>0</v>
      </c>
      <c r="M567" s="75">
        <f>I567*J567</f>
        <v>0</v>
      </c>
      <c r="N567" s="78" t="s">
        <v>1556</v>
      </c>
      <c r="O567" s="67"/>
      <c r="Z567" s="28">
        <f>IF(AQ567="5",BJ567,0)</f>
        <v>0</v>
      </c>
      <c r="AB567" s="28">
        <f>IF(AQ567="1",BH567,0)</f>
        <v>0</v>
      </c>
      <c r="AC567" s="28">
        <f>IF(AQ567="1",BI567,0)</f>
        <v>0</v>
      </c>
      <c r="AD567" s="28">
        <f>IF(AQ567="7",BH567,0)</f>
        <v>0</v>
      </c>
      <c r="AE567" s="28">
        <f>IF(AQ567="7",BI567,0)</f>
        <v>0</v>
      </c>
      <c r="AF567" s="28">
        <f>IF(AQ567="2",BH567,0)</f>
        <v>0</v>
      </c>
      <c r="AG567" s="28">
        <f>IF(AQ567="2",BI567,0)</f>
        <v>0</v>
      </c>
      <c r="AH567" s="28">
        <f>IF(AQ567="0",BJ567,0)</f>
        <v>0</v>
      </c>
      <c r="AI567" s="27" t="s">
        <v>283</v>
      </c>
      <c r="AJ567" s="18">
        <f>IF(AN567=0,M567,0)</f>
        <v>0</v>
      </c>
      <c r="AK567" s="18">
        <f>IF(AN567=15,M567,0)</f>
        <v>0</v>
      </c>
      <c r="AL567" s="18">
        <f>IF(AN567=21,M567,0)</f>
        <v>0</v>
      </c>
      <c r="AN567" s="28">
        <v>15</v>
      </c>
      <c r="AO567" s="28">
        <f>J567*0</f>
        <v>0</v>
      </c>
      <c r="AP567" s="28">
        <f>J567*(1-0)</f>
        <v>0</v>
      </c>
      <c r="AQ567" s="29" t="s">
        <v>13</v>
      </c>
      <c r="AV567" s="28">
        <f>AW567+AX567</f>
        <v>0</v>
      </c>
      <c r="AW567" s="28">
        <f>I567*AO567</f>
        <v>0</v>
      </c>
      <c r="AX567" s="28">
        <f>I567*AP567</f>
        <v>0</v>
      </c>
      <c r="AY567" s="31" t="s">
        <v>1593</v>
      </c>
      <c r="AZ567" s="31" t="s">
        <v>1622</v>
      </c>
      <c r="BA567" s="27" t="s">
        <v>1628</v>
      </c>
      <c r="BC567" s="28">
        <f>AW567+AX567</f>
        <v>0</v>
      </c>
      <c r="BD567" s="28">
        <f>J567/(100-BE567)*100</f>
        <v>0</v>
      </c>
      <c r="BE567" s="28">
        <v>0</v>
      </c>
      <c r="BF567" s="28">
        <f>567</f>
        <v>567</v>
      </c>
      <c r="BH567" s="18">
        <f>I567*AO567</f>
        <v>0</v>
      </c>
      <c r="BI567" s="18">
        <f>I567*AP567</f>
        <v>0</v>
      </c>
      <c r="BJ567" s="18">
        <f>I567*J567</f>
        <v>0</v>
      </c>
      <c r="BK567" s="18" t="s">
        <v>1634</v>
      </c>
      <c r="BL567" s="28">
        <v>764</v>
      </c>
    </row>
    <row r="568" spans="1:15" ht="25.5" customHeight="1">
      <c r="A568" s="3"/>
      <c r="D568" s="136" t="s">
        <v>965</v>
      </c>
      <c r="E568" s="137"/>
      <c r="F568" s="137"/>
      <c r="G568" s="137"/>
      <c r="H568" s="137"/>
      <c r="I568" s="137"/>
      <c r="J568" s="137"/>
      <c r="K568" s="137"/>
      <c r="L568" s="137"/>
      <c r="M568" s="137"/>
      <c r="N568" s="138"/>
      <c r="O568" s="3"/>
    </row>
    <row r="569" spans="1:15" ht="12.75">
      <c r="A569" s="82"/>
      <c r="B569" s="83"/>
      <c r="C569" s="83"/>
      <c r="D569" s="85" t="s">
        <v>966</v>
      </c>
      <c r="G569" s="86" t="s">
        <v>1437</v>
      </c>
      <c r="H569" s="83"/>
      <c r="I569" s="88">
        <v>55.3</v>
      </c>
      <c r="J569" s="83"/>
      <c r="K569" s="83"/>
      <c r="L569" s="83"/>
      <c r="M569" s="83"/>
      <c r="N569" s="80"/>
      <c r="O569" s="67"/>
    </row>
    <row r="570" spans="1:15" ht="12.75">
      <c r="A570" s="3"/>
      <c r="C570" s="13" t="s">
        <v>302</v>
      </c>
      <c r="D570" s="145" t="s">
        <v>967</v>
      </c>
      <c r="E570" s="146"/>
      <c r="F570" s="146"/>
      <c r="G570" s="146"/>
      <c r="H570" s="146"/>
      <c r="I570" s="146"/>
      <c r="J570" s="146"/>
      <c r="K570" s="146"/>
      <c r="L570" s="146"/>
      <c r="M570" s="146"/>
      <c r="N570" s="147"/>
      <c r="O570" s="3"/>
    </row>
    <row r="571" spans="1:15" ht="12.75">
      <c r="A571" s="3"/>
      <c r="C571" s="12" t="s">
        <v>296</v>
      </c>
      <c r="D571" s="142" t="s">
        <v>877</v>
      </c>
      <c r="E571" s="143"/>
      <c r="F571" s="143"/>
      <c r="G571" s="143"/>
      <c r="H571" s="143"/>
      <c r="I571" s="143"/>
      <c r="J571" s="143"/>
      <c r="K571" s="143"/>
      <c r="L571" s="143"/>
      <c r="M571" s="143"/>
      <c r="N571" s="144"/>
      <c r="O571" s="3"/>
    </row>
    <row r="572" spans="1:64" ht="12.75">
      <c r="A572" s="74" t="s">
        <v>129</v>
      </c>
      <c r="B572" s="74" t="s">
        <v>283</v>
      </c>
      <c r="C572" s="74" t="s">
        <v>419</v>
      </c>
      <c r="D572" s="133" t="s">
        <v>968</v>
      </c>
      <c r="E572" s="134"/>
      <c r="F572" s="134"/>
      <c r="G572" s="135"/>
      <c r="H572" s="74" t="s">
        <v>1538</v>
      </c>
      <c r="I572" s="75">
        <v>4</v>
      </c>
      <c r="J572" s="75">
        <v>0</v>
      </c>
      <c r="K572" s="75">
        <f>I572*AO572</f>
        <v>0</v>
      </c>
      <c r="L572" s="75">
        <f>I572*AP572</f>
        <v>0</v>
      </c>
      <c r="M572" s="75">
        <f>I572*J572</f>
        <v>0</v>
      </c>
      <c r="N572" s="78" t="s">
        <v>1556</v>
      </c>
      <c r="O572" s="67"/>
      <c r="Z572" s="28">
        <f>IF(AQ572="5",BJ572,0)</f>
        <v>0</v>
      </c>
      <c r="AB572" s="28">
        <f>IF(AQ572="1",BH572,0)</f>
        <v>0</v>
      </c>
      <c r="AC572" s="28">
        <f>IF(AQ572="1",BI572,0)</f>
        <v>0</v>
      </c>
      <c r="AD572" s="28">
        <f>IF(AQ572="7",BH572,0)</f>
        <v>0</v>
      </c>
      <c r="AE572" s="28">
        <f>IF(AQ572="7",BI572,0)</f>
        <v>0</v>
      </c>
      <c r="AF572" s="28">
        <f>IF(AQ572="2",BH572,0)</f>
        <v>0</v>
      </c>
      <c r="AG572" s="28">
        <f>IF(AQ572="2",BI572,0)</f>
        <v>0</v>
      </c>
      <c r="AH572" s="28">
        <f>IF(AQ572="0",BJ572,0)</f>
        <v>0</v>
      </c>
      <c r="AI572" s="27" t="s">
        <v>283</v>
      </c>
      <c r="AJ572" s="18">
        <f>IF(AN572=0,M572,0)</f>
        <v>0</v>
      </c>
      <c r="AK572" s="18">
        <f>IF(AN572=15,M572,0)</f>
        <v>0</v>
      </c>
      <c r="AL572" s="18">
        <f>IF(AN572=21,M572,0)</f>
        <v>0</v>
      </c>
      <c r="AN572" s="28">
        <v>15</v>
      </c>
      <c r="AO572" s="28">
        <f>J572*0.250526690391459</f>
        <v>0</v>
      </c>
      <c r="AP572" s="28">
        <f>J572*(1-0.250526690391459)</f>
        <v>0</v>
      </c>
      <c r="AQ572" s="29" t="s">
        <v>13</v>
      </c>
      <c r="AV572" s="28">
        <f>AW572+AX572</f>
        <v>0</v>
      </c>
      <c r="AW572" s="28">
        <f>I572*AO572</f>
        <v>0</v>
      </c>
      <c r="AX572" s="28">
        <f>I572*AP572</f>
        <v>0</v>
      </c>
      <c r="AY572" s="31" t="s">
        <v>1593</v>
      </c>
      <c r="AZ572" s="31" t="s">
        <v>1622</v>
      </c>
      <c r="BA572" s="27" t="s">
        <v>1628</v>
      </c>
      <c r="BC572" s="28">
        <f>AW572+AX572</f>
        <v>0</v>
      </c>
      <c r="BD572" s="28">
        <f>J572/(100-BE572)*100</f>
        <v>0</v>
      </c>
      <c r="BE572" s="28">
        <v>0</v>
      </c>
      <c r="BF572" s="28">
        <f>572</f>
        <v>572</v>
      </c>
      <c r="BH572" s="18">
        <f>I572*AO572</f>
        <v>0</v>
      </c>
      <c r="BI572" s="18">
        <f>I572*AP572</f>
        <v>0</v>
      </c>
      <c r="BJ572" s="18">
        <f>I572*J572</f>
        <v>0</v>
      </c>
      <c r="BK572" s="18" t="s">
        <v>1634</v>
      </c>
      <c r="BL572" s="28">
        <v>764</v>
      </c>
    </row>
    <row r="573" spans="1:15" ht="12.75">
      <c r="A573" s="3"/>
      <c r="D573" s="136" t="s">
        <v>969</v>
      </c>
      <c r="E573" s="137"/>
      <c r="F573" s="137"/>
      <c r="G573" s="137"/>
      <c r="H573" s="137"/>
      <c r="I573" s="137"/>
      <c r="J573" s="137"/>
      <c r="K573" s="137"/>
      <c r="L573" s="137"/>
      <c r="M573" s="137"/>
      <c r="N573" s="138"/>
      <c r="O573" s="3"/>
    </row>
    <row r="574" spans="1:15" ht="12.75">
      <c r="A574" s="82"/>
      <c r="B574" s="83"/>
      <c r="C574" s="83"/>
      <c r="D574" s="85" t="s">
        <v>10</v>
      </c>
      <c r="G574" s="86" t="s">
        <v>1438</v>
      </c>
      <c r="H574" s="83"/>
      <c r="I574" s="88">
        <v>4</v>
      </c>
      <c r="J574" s="83"/>
      <c r="K574" s="83"/>
      <c r="L574" s="83"/>
      <c r="M574" s="83"/>
      <c r="N574" s="80"/>
      <c r="O574" s="67"/>
    </row>
    <row r="575" spans="1:15" ht="12.75">
      <c r="A575" s="3"/>
      <c r="C575" s="13" t="s">
        <v>302</v>
      </c>
      <c r="D575" s="145" t="s">
        <v>970</v>
      </c>
      <c r="E575" s="146"/>
      <c r="F575" s="146"/>
      <c r="G575" s="146"/>
      <c r="H575" s="146"/>
      <c r="I575" s="146"/>
      <c r="J575" s="146"/>
      <c r="K575" s="146"/>
      <c r="L575" s="146"/>
      <c r="M575" s="146"/>
      <c r="N575" s="147"/>
      <c r="O575" s="3"/>
    </row>
    <row r="576" spans="1:15" ht="12.75">
      <c r="A576" s="3"/>
      <c r="C576" s="12" t="s">
        <v>296</v>
      </c>
      <c r="D576" s="142" t="s">
        <v>956</v>
      </c>
      <c r="E576" s="143"/>
      <c r="F576" s="143"/>
      <c r="G576" s="143"/>
      <c r="H576" s="143"/>
      <c r="I576" s="143"/>
      <c r="J576" s="143"/>
      <c r="K576" s="143"/>
      <c r="L576" s="143"/>
      <c r="M576" s="143"/>
      <c r="N576" s="144"/>
      <c r="O576" s="3"/>
    </row>
    <row r="577" spans="1:64" ht="12.75">
      <c r="A577" s="74" t="s">
        <v>130</v>
      </c>
      <c r="B577" s="74" t="s">
        <v>283</v>
      </c>
      <c r="C577" s="74" t="s">
        <v>420</v>
      </c>
      <c r="D577" s="133" t="s">
        <v>971</v>
      </c>
      <c r="E577" s="134"/>
      <c r="F577" s="134"/>
      <c r="G577" s="135"/>
      <c r="H577" s="74" t="s">
        <v>1538</v>
      </c>
      <c r="I577" s="75">
        <v>1</v>
      </c>
      <c r="J577" s="75">
        <v>0</v>
      </c>
      <c r="K577" s="75">
        <f>I577*AO577</f>
        <v>0</v>
      </c>
      <c r="L577" s="75">
        <f>I577*AP577</f>
        <v>0</v>
      </c>
      <c r="M577" s="75">
        <f>I577*J577</f>
        <v>0</v>
      </c>
      <c r="N577" s="78" t="s">
        <v>1556</v>
      </c>
      <c r="O577" s="67"/>
      <c r="Z577" s="28">
        <f>IF(AQ577="5",BJ577,0)</f>
        <v>0</v>
      </c>
      <c r="AB577" s="28">
        <f>IF(AQ577="1",BH577,0)</f>
        <v>0</v>
      </c>
      <c r="AC577" s="28">
        <f>IF(AQ577="1",BI577,0)</f>
        <v>0</v>
      </c>
      <c r="AD577" s="28">
        <f>IF(AQ577="7",BH577,0)</f>
        <v>0</v>
      </c>
      <c r="AE577" s="28">
        <f>IF(AQ577="7",BI577,0)</f>
        <v>0</v>
      </c>
      <c r="AF577" s="28">
        <f>IF(AQ577="2",BH577,0)</f>
        <v>0</v>
      </c>
      <c r="AG577" s="28">
        <f>IF(AQ577="2",BI577,0)</f>
        <v>0</v>
      </c>
      <c r="AH577" s="28">
        <f>IF(AQ577="0",BJ577,0)</f>
        <v>0</v>
      </c>
      <c r="AI577" s="27" t="s">
        <v>283</v>
      </c>
      <c r="AJ577" s="18">
        <f>IF(AN577=0,M577,0)</f>
        <v>0</v>
      </c>
      <c r="AK577" s="18">
        <f>IF(AN577=15,M577,0)</f>
        <v>0</v>
      </c>
      <c r="AL577" s="18">
        <f>IF(AN577=21,M577,0)</f>
        <v>0</v>
      </c>
      <c r="AN577" s="28">
        <v>15</v>
      </c>
      <c r="AO577" s="28">
        <f>J577*0.217369670136811</f>
        <v>0</v>
      </c>
      <c r="AP577" s="28">
        <f>J577*(1-0.217369670136811)</f>
        <v>0</v>
      </c>
      <c r="AQ577" s="29" t="s">
        <v>13</v>
      </c>
      <c r="AV577" s="28">
        <f>AW577+AX577</f>
        <v>0</v>
      </c>
      <c r="AW577" s="28">
        <f>I577*AO577</f>
        <v>0</v>
      </c>
      <c r="AX577" s="28">
        <f>I577*AP577</f>
        <v>0</v>
      </c>
      <c r="AY577" s="31" t="s">
        <v>1593</v>
      </c>
      <c r="AZ577" s="31" t="s">
        <v>1622</v>
      </c>
      <c r="BA577" s="27" t="s">
        <v>1628</v>
      </c>
      <c r="BC577" s="28">
        <f>AW577+AX577</f>
        <v>0</v>
      </c>
      <c r="BD577" s="28">
        <f>J577/(100-BE577)*100</f>
        <v>0</v>
      </c>
      <c r="BE577" s="28">
        <v>0</v>
      </c>
      <c r="BF577" s="28">
        <f>577</f>
        <v>577</v>
      </c>
      <c r="BH577" s="18">
        <f>I577*AO577</f>
        <v>0</v>
      </c>
      <c r="BI577" s="18">
        <f>I577*AP577</f>
        <v>0</v>
      </c>
      <c r="BJ577" s="18">
        <f>I577*J577</f>
        <v>0</v>
      </c>
      <c r="BK577" s="18" t="s">
        <v>1634</v>
      </c>
      <c r="BL577" s="28">
        <v>764</v>
      </c>
    </row>
    <row r="578" spans="1:15" ht="12.75">
      <c r="A578" s="3"/>
      <c r="D578" s="136" t="s">
        <v>972</v>
      </c>
      <c r="E578" s="137"/>
      <c r="F578" s="137"/>
      <c r="G578" s="137"/>
      <c r="H578" s="137"/>
      <c r="I578" s="137"/>
      <c r="J578" s="137"/>
      <c r="K578" s="137"/>
      <c r="L578" s="137"/>
      <c r="M578" s="137"/>
      <c r="N578" s="138"/>
      <c r="O578" s="3"/>
    </row>
    <row r="579" spans="1:15" ht="12.75">
      <c r="A579" s="82"/>
      <c r="B579" s="83"/>
      <c r="C579" s="83"/>
      <c r="D579" s="85" t="s">
        <v>7</v>
      </c>
      <c r="G579" s="86" t="s">
        <v>1439</v>
      </c>
      <c r="H579" s="83"/>
      <c r="I579" s="88">
        <v>1</v>
      </c>
      <c r="J579" s="83"/>
      <c r="K579" s="83"/>
      <c r="L579" s="83"/>
      <c r="M579" s="83"/>
      <c r="N579" s="80"/>
      <c r="O579" s="67"/>
    </row>
    <row r="580" spans="1:15" ht="12.75">
      <c r="A580" s="3"/>
      <c r="C580" s="13" t="s">
        <v>302</v>
      </c>
      <c r="D580" s="145" t="s">
        <v>973</v>
      </c>
      <c r="E580" s="146"/>
      <c r="F580" s="146"/>
      <c r="G580" s="146"/>
      <c r="H580" s="146"/>
      <c r="I580" s="146"/>
      <c r="J580" s="146"/>
      <c r="K580" s="146"/>
      <c r="L580" s="146"/>
      <c r="M580" s="146"/>
      <c r="N580" s="147"/>
      <c r="O580" s="3"/>
    </row>
    <row r="581" spans="1:15" ht="12.75">
      <c r="A581" s="3"/>
      <c r="C581" s="12" t="s">
        <v>296</v>
      </c>
      <c r="D581" s="142" t="s">
        <v>956</v>
      </c>
      <c r="E581" s="143"/>
      <c r="F581" s="143"/>
      <c r="G581" s="143"/>
      <c r="H581" s="143"/>
      <c r="I581" s="143"/>
      <c r="J581" s="143"/>
      <c r="K581" s="143"/>
      <c r="L581" s="143"/>
      <c r="M581" s="143"/>
      <c r="N581" s="144"/>
      <c r="O581" s="3"/>
    </row>
    <row r="582" spans="1:64" ht="12.75">
      <c r="A582" s="74" t="s">
        <v>131</v>
      </c>
      <c r="B582" s="74" t="s">
        <v>283</v>
      </c>
      <c r="C582" s="74" t="s">
        <v>421</v>
      </c>
      <c r="D582" s="133" t="s">
        <v>974</v>
      </c>
      <c r="E582" s="134"/>
      <c r="F582" s="134"/>
      <c r="G582" s="135"/>
      <c r="H582" s="74" t="s">
        <v>1539</v>
      </c>
      <c r="I582" s="75">
        <v>58</v>
      </c>
      <c r="J582" s="75">
        <v>0</v>
      </c>
      <c r="K582" s="75">
        <f>I582*AO582</f>
        <v>0</v>
      </c>
      <c r="L582" s="75">
        <f>I582*AP582</f>
        <v>0</v>
      </c>
      <c r="M582" s="75">
        <f>I582*J582</f>
        <v>0</v>
      </c>
      <c r="N582" s="78" t="s">
        <v>1556</v>
      </c>
      <c r="O582" s="67"/>
      <c r="Z582" s="28">
        <f>IF(AQ582="5",BJ582,0)</f>
        <v>0</v>
      </c>
      <c r="AB582" s="28">
        <f>IF(AQ582="1",BH582,0)</f>
        <v>0</v>
      </c>
      <c r="AC582" s="28">
        <f>IF(AQ582="1",BI582,0)</f>
        <v>0</v>
      </c>
      <c r="AD582" s="28">
        <f>IF(AQ582="7",BH582,0)</f>
        <v>0</v>
      </c>
      <c r="AE582" s="28">
        <f>IF(AQ582="7",BI582,0)</f>
        <v>0</v>
      </c>
      <c r="AF582" s="28">
        <f>IF(AQ582="2",BH582,0)</f>
        <v>0</v>
      </c>
      <c r="AG582" s="28">
        <f>IF(AQ582="2",BI582,0)</f>
        <v>0</v>
      </c>
      <c r="AH582" s="28">
        <f>IF(AQ582="0",BJ582,0)</f>
        <v>0</v>
      </c>
      <c r="AI582" s="27" t="s">
        <v>283</v>
      </c>
      <c r="AJ582" s="18">
        <f>IF(AN582=0,M582,0)</f>
        <v>0</v>
      </c>
      <c r="AK582" s="18">
        <f>IF(AN582=15,M582,0)</f>
        <v>0</v>
      </c>
      <c r="AL582" s="18">
        <f>IF(AN582=21,M582,0)</f>
        <v>0</v>
      </c>
      <c r="AN582" s="28">
        <v>15</v>
      </c>
      <c r="AO582" s="28">
        <f>J582*0.259541832669323</f>
        <v>0</v>
      </c>
      <c r="AP582" s="28">
        <f>J582*(1-0.259541832669323)</f>
        <v>0</v>
      </c>
      <c r="AQ582" s="29" t="s">
        <v>13</v>
      </c>
      <c r="AV582" s="28">
        <f>AW582+AX582</f>
        <v>0</v>
      </c>
      <c r="AW582" s="28">
        <f>I582*AO582</f>
        <v>0</v>
      </c>
      <c r="AX582" s="28">
        <f>I582*AP582</f>
        <v>0</v>
      </c>
      <c r="AY582" s="31" t="s">
        <v>1593</v>
      </c>
      <c r="AZ582" s="31" t="s">
        <v>1622</v>
      </c>
      <c r="BA582" s="27" t="s">
        <v>1628</v>
      </c>
      <c r="BC582" s="28">
        <f>AW582+AX582</f>
        <v>0</v>
      </c>
      <c r="BD582" s="28">
        <f>J582/(100-BE582)*100</f>
        <v>0</v>
      </c>
      <c r="BE582" s="28">
        <v>0</v>
      </c>
      <c r="BF582" s="28">
        <f>582</f>
        <v>582</v>
      </c>
      <c r="BH582" s="18">
        <f>I582*AO582</f>
        <v>0</v>
      </c>
      <c r="BI582" s="18">
        <f>I582*AP582</f>
        <v>0</v>
      </c>
      <c r="BJ582" s="18">
        <f>I582*J582</f>
        <v>0</v>
      </c>
      <c r="BK582" s="18" t="s">
        <v>1634</v>
      </c>
      <c r="BL582" s="28">
        <v>764</v>
      </c>
    </row>
    <row r="583" spans="1:15" ht="12.75">
      <c r="A583" s="3"/>
      <c r="D583" s="136" t="s">
        <v>975</v>
      </c>
      <c r="E583" s="137"/>
      <c r="F583" s="137"/>
      <c r="G583" s="137"/>
      <c r="H583" s="137"/>
      <c r="I583" s="137"/>
      <c r="J583" s="137"/>
      <c r="K583" s="137"/>
      <c r="L583" s="137"/>
      <c r="M583" s="137"/>
      <c r="N583" s="138"/>
      <c r="O583" s="3"/>
    </row>
    <row r="584" spans="1:15" ht="12.75">
      <c r="A584" s="89"/>
      <c r="B584" s="90"/>
      <c r="C584" s="90"/>
      <c r="D584" s="84" t="s">
        <v>976</v>
      </c>
      <c r="G584" s="91" t="s">
        <v>1440</v>
      </c>
      <c r="H584" s="90"/>
      <c r="I584" s="92">
        <v>5.2</v>
      </c>
      <c r="J584" s="90"/>
      <c r="K584" s="90"/>
      <c r="L584" s="90"/>
      <c r="M584" s="90"/>
      <c r="N584" s="79"/>
      <c r="O584" s="67"/>
    </row>
    <row r="585" spans="1:15" ht="12.75">
      <c r="A585" s="89"/>
      <c r="B585" s="90"/>
      <c r="C585" s="90"/>
      <c r="D585" s="84" t="s">
        <v>977</v>
      </c>
      <c r="G585" s="91" t="s">
        <v>1441</v>
      </c>
      <c r="H585" s="90"/>
      <c r="I585" s="92">
        <v>5</v>
      </c>
      <c r="J585" s="90"/>
      <c r="K585" s="90"/>
      <c r="L585" s="90"/>
      <c r="M585" s="90"/>
      <c r="N585" s="79"/>
      <c r="O585" s="67"/>
    </row>
    <row r="586" spans="1:15" ht="12.75">
      <c r="A586" s="89"/>
      <c r="B586" s="90"/>
      <c r="C586" s="90"/>
      <c r="D586" s="84" t="s">
        <v>977</v>
      </c>
      <c r="G586" s="91" t="s">
        <v>1442</v>
      </c>
      <c r="H586" s="90"/>
      <c r="I586" s="92">
        <v>5</v>
      </c>
      <c r="J586" s="90"/>
      <c r="K586" s="90"/>
      <c r="L586" s="90"/>
      <c r="M586" s="90"/>
      <c r="N586" s="79"/>
      <c r="O586" s="67"/>
    </row>
    <row r="587" spans="1:15" ht="12.75">
      <c r="A587" s="89"/>
      <c r="B587" s="90"/>
      <c r="C587" s="90"/>
      <c r="D587" s="84" t="s">
        <v>978</v>
      </c>
      <c r="G587" s="91" t="s">
        <v>1443</v>
      </c>
      <c r="H587" s="90"/>
      <c r="I587" s="92">
        <v>5.4</v>
      </c>
      <c r="J587" s="90"/>
      <c r="K587" s="90"/>
      <c r="L587" s="90"/>
      <c r="M587" s="90"/>
      <c r="N587" s="79"/>
      <c r="O587" s="67"/>
    </row>
    <row r="588" spans="1:15" ht="12.75">
      <c r="A588" s="89"/>
      <c r="B588" s="90"/>
      <c r="C588" s="90"/>
      <c r="D588" s="84" t="s">
        <v>979</v>
      </c>
      <c r="G588" s="91" t="s">
        <v>1444</v>
      </c>
      <c r="H588" s="90"/>
      <c r="I588" s="92">
        <v>6.2</v>
      </c>
      <c r="J588" s="90"/>
      <c r="K588" s="90"/>
      <c r="L588" s="90"/>
      <c r="M588" s="90"/>
      <c r="N588" s="79"/>
      <c r="O588" s="67"/>
    </row>
    <row r="589" spans="1:15" ht="12.75">
      <c r="A589" s="89"/>
      <c r="B589" s="90"/>
      <c r="C589" s="90"/>
      <c r="D589" s="84" t="s">
        <v>980</v>
      </c>
      <c r="G589" s="91" t="s">
        <v>1445</v>
      </c>
      <c r="H589" s="90"/>
      <c r="I589" s="92">
        <v>15.9</v>
      </c>
      <c r="J589" s="90"/>
      <c r="K589" s="90"/>
      <c r="L589" s="90"/>
      <c r="M589" s="90"/>
      <c r="N589" s="79"/>
      <c r="O589" s="67"/>
    </row>
    <row r="590" spans="1:15" ht="12.75">
      <c r="A590" s="89"/>
      <c r="B590" s="90"/>
      <c r="C590" s="90"/>
      <c r="D590" s="84" t="s">
        <v>981</v>
      </c>
      <c r="G590" s="91" t="s">
        <v>1446</v>
      </c>
      <c r="H590" s="90"/>
      <c r="I590" s="92">
        <v>5.9</v>
      </c>
      <c r="J590" s="90"/>
      <c r="K590" s="90"/>
      <c r="L590" s="90"/>
      <c r="M590" s="90"/>
      <c r="N590" s="79"/>
      <c r="O590" s="67"/>
    </row>
    <row r="591" spans="1:15" ht="12.75">
      <c r="A591" s="89"/>
      <c r="B591" s="90"/>
      <c r="C591" s="90"/>
      <c r="D591" s="84" t="s">
        <v>982</v>
      </c>
      <c r="G591" s="91" t="s">
        <v>1447</v>
      </c>
      <c r="H591" s="90"/>
      <c r="I591" s="92">
        <v>5.8</v>
      </c>
      <c r="J591" s="90"/>
      <c r="K591" s="90"/>
      <c r="L591" s="90"/>
      <c r="M591" s="90"/>
      <c r="N591" s="79"/>
      <c r="O591" s="67"/>
    </row>
    <row r="592" spans="1:15" ht="12.75">
      <c r="A592" s="82"/>
      <c r="B592" s="83"/>
      <c r="C592" s="83"/>
      <c r="D592" s="85" t="s">
        <v>983</v>
      </c>
      <c r="G592" s="86" t="s">
        <v>1448</v>
      </c>
      <c r="H592" s="83"/>
      <c r="I592" s="88">
        <v>3.6</v>
      </c>
      <c r="J592" s="83"/>
      <c r="K592" s="83"/>
      <c r="L592" s="83"/>
      <c r="M592" s="83"/>
      <c r="N592" s="80"/>
      <c r="O592" s="67"/>
    </row>
    <row r="593" spans="1:15" ht="12.75">
      <c r="A593" s="3"/>
      <c r="C593" s="13" t="s">
        <v>302</v>
      </c>
      <c r="D593" s="145" t="s">
        <v>984</v>
      </c>
      <c r="E593" s="146"/>
      <c r="F593" s="146"/>
      <c r="G593" s="146"/>
      <c r="H593" s="146"/>
      <c r="I593" s="146"/>
      <c r="J593" s="146"/>
      <c r="K593" s="146"/>
      <c r="L593" s="146"/>
      <c r="M593" s="146"/>
      <c r="N593" s="147"/>
      <c r="O593" s="3"/>
    </row>
    <row r="594" spans="1:15" ht="12.75">
      <c r="A594" s="3"/>
      <c r="C594" s="12" t="s">
        <v>296</v>
      </c>
      <c r="D594" s="142" t="s">
        <v>956</v>
      </c>
      <c r="E594" s="143"/>
      <c r="F594" s="143"/>
      <c r="G594" s="143"/>
      <c r="H594" s="143"/>
      <c r="I594" s="143"/>
      <c r="J594" s="143"/>
      <c r="K594" s="143"/>
      <c r="L594" s="143"/>
      <c r="M594" s="143"/>
      <c r="N594" s="144"/>
      <c r="O594" s="3"/>
    </row>
    <row r="595" spans="1:64" ht="12.75">
      <c r="A595" s="74" t="s">
        <v>132</v>
      </c>
      <c r="B595" s="74" t="s">
        <v>283</v>
      </c>
      <c r="C595" s="74" t="s">
        <v>422</v>
      </c>
      <c r="D595" s="133" t="s">
        <v>985</v>
      </c>
      <c r="E595" s="134"/>
      <c r="F595" s="134"/>
      <c r="G595" s="135"/>
      <c r="H595" s="74" t="s">
        <v>1539</v>
      </c>
      <c r="I595" s="75">
        <v>4.1</v>
      </c>
      <c r="J595" s="75">
        <v>0</v>
      </c>
      <c r="K595" s="75">
        <f>I595*AO595</f>
        <v>0</v>
      </c>
      <c r="L595" s="75">
        <f>I595*AP595</f>
        <v>0</v>
      </c>
      <c r="M595" s="75">
        <f>I595*J595</f>
        <v>0</v>
      </c>
      <c r="N595" s="78" t="s">
        <v>1556</v>
      </c>
      <c r="O595" s="67"/>
      <c r="Z595" s="28">
        <f>IF(AQ595="5",BJ595,0)</f>
        <v>0</v>
      </c>
      <c r="AB595" s="28">
        <f>IF(AQ595="1",BH595,0)</f>
        <v>0</v>
      </c>
      <c r="AC595" s="28">
        <f>IF(AQ595="1",BI595,0)</f>
        <v>0</v>
      </c>
      <c r="AD595" s="28">
        <f>IF(AQ595="7",BH595,0)</f>
        <v>0</v>
      </c>
      <c r="AE595" s="28">
        <f>IF(AQ595="7",BI595,0)</f>
        <v>0</v>
      </c>
      <c r="AF595" s="28">
        <f>IF(AQ595="2",BH595,0)</f>
        <v>0</v>
      </c>
      <c r="AG595" s="28">
        <f>IF(AQ595="2",BI595,0)</f>
        <v>0</v>
      </c>
      <c r="AH595" s="28">
        <f>IF(AQ595="0",BJ595,0)</f>
        <v>0</v>
      </c>
      <c r="AI595" s="27" t="s">
        <v>283</v>
      </c>
      <c r="AJ595" s="18">
        <f>IF(AN595=0,M595,0)</f>
        <v>0</v>
      </c>
      <c r="AK595" s="18">
        <f>IF(AN595=15,M595,0)</f>
        <v>0</v>
      </c>
      <c r="AL595" s="18">
        <f>IF(AN595=21,M595,0)</f>
        <v>0</v>
      </c>
      <c r="AN595" s="28">
        <v>15</v>
      </c>
      <c r="AO595" s="28">
        <f>J595*0.514010416666667</f>
        <v>0</v>
      </c>
      <c r="AP595" s="28">
        <f>J595*(1-0.514010416666667)</f>
        <v>0</v>
      </c>
      <c r="AQ595" s="29" t="s">
        <v>13</v>
      </c>
      <c r="AV595" s="28">
        <f>AW595+AX595</f>
        <v>0</v>
      </c>
      <c r="AW595" s="28">
        <f>I595*AO595</f>
        <v>0</v>
      </c>
      <c r="AX595" s="28">
        <f>I595*AP595</f>
        <v>0</v>
      </c>
      <c r="AY595" s="31" t="s">
        <v>1593</v>
      </c>
      <c r="AZ595" s="31" t="s">
        <v>1622</v>
      </c>
      <c r="BA595" s="27" t="s">
        <v>1628</v>
      </c>
      <c r="BC595" s="28">
        <f>AW595+AX595</f>
        <v>0</v>
      </c>
      <c r="BD595" s="28">
        <f>J595/(100-BE595)*100</f>
        <v>0</v>
      </c>
      <c r="BE595" s="28">
        <v>0</v>
      </c>
      <c r="BF595" s="28">
        <f>595</f>
        <v>595</v>
      </c>
      <c r="BH595" s="18">
        <f>I595*AO595</f>
        <v>0</v>
      </c>
      <c r="BI595" s="18">
        <f>I595*AP595</f>
        <v>0</v>
      </c>
      <c r="BJ595" s="18">
        <f>I595*J595</f>
        <v>0</v>
      </c>
      <c r="BK595" s="18" t="s">
        <v>1634</v>
      </c>
      <c r="BL595" s="28">
        <v>764</v>
      </c>
    </row>
    <row r="596" spans="1:15" ht="12.75">
      <c r="A596" s="3"/>
      <c r="D596" s="136" t="s">
        <v>975</v>
      </c>
      <c r="E596" s="137"/>
      <c r="F596" s="137"/>
      <c r="G596" s="137"/>
      <c r="H596" s="137"/>
      <c r="I596" s="137"/>
      <c r="J596" s="137"/>
      <c r="K596" s="137"/>
      <c r="L596" s="137"/>
      <c r="M596" s="137"/>
      <c r="N596" s="138"/>
      <c r="O596" s="3"/>
    </row>
    <row r="597" spans="1:15" ht="12.75">
      <c r="A597" s="82"/>
      <c r="B597" s="83"/>
      <c r="C597" s="83"/>
      <c r="D597" s="85" t="s">
        <v>986</v>
      </c>
      <c r="G597" s="86" t="s">
        <v>1449</v>
      </c>
      <c r="H597" s="83"/>
      <c r="I597" s="88">
        <v>4.1</v>
      </c>
      <c r="J597" s="83"/>
      <c r="K597" s="83"/>
      <c r="L597" s="83"/>
      <c r="M597" s="83"/>
      <c r="N597" s="80"/>
      <c r="O597" s="67"/>
    </row>
    <row r="598" spans="1:15" ht="12.75">
      <c r="A598" s="3"/>
      <c r="C598" s="12" t="s">
        <v>296</v>
      </c>
      <c r="D598" s="142" t="s">
        <v>956</v>
      </c>
      <c r="E598" s="143"/>
      <c r="F598" s="143"/>
      <c r="G598" s="143"/>
      <c r="H598" s="143"/>
      <c r="I598" s="143"/>
      <c r="J598" s="143"/>
      <c r="K598" s="143"/>
      <c r="L598" s="143"/>
      <c r="M598" s="143"/>
      <c r="N598" s="144"/>
      <c r="O598" s="3"/>
    </row>
    <row r="599" spans="1:64" ht="12.75">
      <c r="A599" s="81" t="s">
        <v>133</v>
      </c>
      <c r="B599" s="81" t="s">
        <v>283</v>
      </c>
      <c r="C599" s="81" t="s">
        <v>423</v>
      </c>
      <c r="D599" s="139" t="s">
        <v>987</v>
      </c>
      <c r="E599" s="134"/>
      <c r="F599" s="134"/>
      <c r="G599" s="140"/>
      <c r="H599" s="81" t="s">
        <v>1539</v>
      </c>
      <c r="I599" s="87">
        <v>1.3</v>
      </c>
      <c r="J599" s="87">
        <v>0</v>
      </c>
      <c r="K599" s="87">
        <f>I599*AO599</f>
        <v>0</v>
      </c>
      <c r="L599" s="87">
        <f>I599*AP599</f>
        <v>0</v>
      </c>
      <c r="M599" s="87">
        <f>I599*J599</f>
        <v>0</v>
      </c>
      <c r="N599" s="77" t="s">
        <v>1556</v>
      </c>
      <c r="O599" s="67"/>
      <c r="Z599" s="28">
        <f>IF(AQ599="5",BJ599,0)</f>
        <v>0</v>
      </c>
      <c r="AB599" s="28">
        <f>IF(AQ599="1",BH599,0)</f>
        <v>0</v>
      </c>
      <c r="AC599" s="28">
        <f>IF(AQ599="1",BI599,0)</f>
        <v>0</v>
      </c>
      <c r="AD599" s="28">
        <f>IF(AQ599="7",BH599,0)</f>
        <v>0</v>
      </c>
      <c r="AE599" s="28">
        <f>IF(AQ599="7",BI599,0)</f>
        <v>0</v>
      </c>
      <c r="AF599" s="28">
        <f>IF(AQ599="2",BH599,0)</f>
        <v>0</v>
      </c>
      <c r="AG599" s="28">
        <f>IF(AQ599="2",BI599,0)</f>
        <v>0</v>
      </c>
      <c r="AH599" s="28">
        <f>IF(AQ599="0",BJ599,0)</f>
        <v>0</v>
      </c>
      <c r="AI599" s="27" t="s">
        <v>283</v>
      </c>
      <c r="AJ599" s="18">
        <f>IF(AN599=0,M599,0)</f>
        <v>0</v>
      </c>
      <c r="AK599" s="18">
        <f>IF(AN599=15,M599,0)</f>
        <v>0</v>
      </c>
      <c r="AL599" s="18">
        <f>IF(AN599=21,M599,0)</f>
        <v>0</v>
      </c>
      <c r="AN599" s="28">
        <v>15</v>
      </c>
      <c r="AO599" s="28">
        <f>J599*0.428266253869969</f>
        <v>0</v>
      </c>
      <c r="AP599" s="28">
        <f>J599*(1-0.428266253869969)</f>
        <v>0</v>
      </c>
      <c r="AQ599" s="29" t="s">
        <v>13</v>
      </c>
      <c r="AV599" s="28">
        <f>AW599+AX599</f>
        <v>0</v>
      </c>
      <c r="AW599" s="28">
        <f>I599*AO599</f>
        <v>0</v>
      </c>
      <c r="AX599" s="28">
        <f>I599*AP599</f>
        <v>0</v>
      </c>
      <c r="AY599" s="31" t="s">
        <v>1593</v>
      </c>
      <c r="AZ599" s="31" t="s">
        <v>1622</v>
      </c>
      <c r="BA599" s="27" t="s">
        <v>1628</v>
      </c>
      <c r="BC599" s="28">
        <f>AW599+AX599</f>
        <v>0</v>
      </c>
      <c r="BD599" s="28">
        <f>J599/(100-BE599)*100</f>
        <v>0</v>
      </c>
      <c r="BE599" s="28">
        <v>0</v>
      </c>
      <c r="BF599" s="28">
        <f>599</f>
        <v>599</v>
      </c>
      <c r="BH599" s="18">
        <f>I599*AO599</f>
        <v>0</v>
      </c>
      <c r="BI599" s="18">
        <f>I599*AP599</f>
        <v>0</v>
      </c>
      <c r="BJ599" s="18">
        <f>I599*J599</f>
        <v>0</v>
      </c>
      <c r="BK599" s="18" t="s">
        <v>1634</v>
      </c>
      <c r="BL599" s="28">
        <v>764</v>
      </c>
    </row>
    <row r="600" spans="1:15" ht="12.75">
      <c r="A600" s="82"/>
      <c r="B600" s="83"/>
      <c r="C600" s="83"/>
      <c r="D600" s="85" t="s">
        <v>988</v>
      </c>
      <c r="G600" s="86" t="s">
        <v>1450</v>
      </c>
      <c r="H600" s="83"/>
      <c r="I600" s="88">
        <v>1.3</v>
      </c>
      <c r="J600" s="83"/>
      <c r="K600" s="83"/>
      <c r="L600" s="83"/>
      <c r="M600" s="83"/>
      <c r="N600" s="80"/>
      <c r="O600" s="67"/>
    </row>
    <row r="601" spans="1:15" ht="12.75">
      <c r="A601" s="3"/>
      <c r="C601" s="13" t="s">
        <v>302</v>
      </c>
      <c r="D601" s="145" t="s">
        <v>989</v>
      </c>
      <c r="E601" s="146"/>
      <c r="F601" s="146"/>
      <c r="G601" s="146"/>
      <c r="H601" s="146"/>
      <c r="I601" s="146"/>
      <c r="J601" s="146"/>
      <c r="K601" s="146"/>
      <c r="L601" s="146"/>
      <c r="M601" s="146"/>
      <c r="N601" s="147"/>
      <c r="O601" s="3"/>
    </row>
    <row r="602" spans="1:15" ht="12.75">
      <c r="A602" s="3"/>
      <c r="C602" s="12" t="s">
        <v>296</v>
      </c>
      <c r="D602" s="142" t="s">
        <v>956</v>
      </c>
      <c r="E602" s="143"/>
      <c r="F602" s="143"/>
      <c r="G602" s="143"/>
      <c r="H602" s="143"/>
      <c r="I602" s="143"/>
      <c r="J602" s="143"/>
      <c r="K602" s="143"/>
      <c r="L602" s="143"/>
      <c r="M602" s="143"/>
      <c r="N602" s="144"/>
      <c r="O602" s="3"/>
    </row>
    <row r="603" spans="1:64" ht="12.75">
      <c r="A603" s="74" t="s">
        <v>134</v>
      </c>
      <c r="B603" s="74" t="s">
        <v>283</v>
      </c>
      <c r="C603" s="74" t="s">
        <v>424</v>
      </c>
      <c r="D603" s="133" t="s">
        <v>990</v>
      </c>
      <c r="E603" s="134"/>
      <c r="F603" s="134"/>
      <c r="G603" s="135"/>
      <c r="H603" s="74" t="s">
        <v>1539</v>
      </c>
      <c r="I603" s="75">
        <v>5</v>
      </c>
      <c r="J603" s="75">
        <v>0</v>
      </c>
      <c r="K603" s="75">
        <f>I603*AO603</f>
        <v>0</v>
      </c>
      <c r="L603" s="75">
        <f>I603*AP603</f>
        <v>0</v>
      </c>
      <c r="M603" s="75">
        <f>I603*J603</f>
        <v>0</v>
      </c>
      <c r="N603" s="78" t="s">
        <v>1556</v>
      </c>
      <c r="O603" s="67"/>
      <c r="Z603" s="28">
        <f>IF(AQ603="5",BJ603,0)</f>
        <v>0</v>
      </c>
      <c r="AB603" s="28">
        <f>IF(AQ603="1",BH603,0)</f>
        <v>0</v>
      </c>
      <c r="AC603" s="28">
        <f>IF(AQ603="1",BI603,0)</f>
        <v>0</v>
      </c>
      <c r="AD603" s="28">
        <f>IF(AQ603="7",BH603,0)</f>
        <v>0</v>
      </c>
      <c r="AE603" s="28">
        <f>IF(AQ603="7",BI603,0)</f>
        <v>0</v>
      </c>
      <c r="AF603" s="28">
        <f>IF(AQ603="2",BH603,0)</f>
        <v>0</v>
      </c>
      <c r="AG603" s="28">
        <f>IF(AQ603="2",BI603,0)</f>
        <v>0</v>
      </c>
      <c r="AH603" s="28">
        <f>IF(AQ603="0",BJ603,0)</f>
        <v>0</v>
      </c>
      <c r="AI603" s="27" t="s">
        <v>283</v>
      </c>
      <c r="AJ603" s="18">
        <f>IF(AN603=0,M603,0)</f>
        <v>0</v>
      </c>
      <c r="AK603" s="18">
        <f>IF(AN603=15,M603,0)</f>
        <v>0</v>
      </c>
      <c r="AL603" s="18">
        <f>IF(AN603=21,M603,0)</f>
        <v>0</v>
      </c>
      <c r="AN603" s="28">
        <v>15</v>
      </c>
      <c r="AO603" s="28">
        <f>J603*0.234625850340136</f>
        <v>0</v>
      </c>
      <c r="AP603" s="28">
        <f>J603*(1-0.234625850340136)</f>
        <v>0</v>
      </c>
      <c r="AQ603" s="29" t="s">
        <v>13</v>
      </c>
      <c r="AV603" s="28">
        <f>AW603+AX603</f>
        <v>0</v>
      </c>
      <c r="AW603" s="28">
        <f>I603*AO603</f>
        <v>0</v>
      </c>
      <c r="AX603" s="28">
        <f>I603*AP603</f>
        <v>0</v>
      </c>
      <c r="AY603" s="31" t="s">
        <v>1593</v>
      </c>
      <c r="AZ603" s="31" t="s">
        <v>1622</v>
      </c>
      <c r="BA603" s="27" t="s">
        <v>1628</v>
      </c>
      <c r="BC603" s="28">
        <f>AW603+AX603</f>
        <v>0</v>
      </c>
      <c r="BD603" s="28">
        <f>J603/(100-BE603)*100</f>
        <v>0</v>
      </c>
      <c r="BE603" s="28">
        <v>0</v>
      </c>
      <c r="BF603" s="28">
        <f>603</f>
        <v>603</v>
      </c>
      <c r="BH603" s="18">
        <f>I603*AO603</f>
        <v>0</v>
      </c>
      <c r="BI603" s="18">
        <f>I603*AP603</f>
        <v>0</v>
      </c>
      <c r="BJ603" s="18">
        <f>I603*J603</f>
        <v>0</v>
      </c>
      <c r="BK603" s="18" t="s">
        <v>1634</v>
      </c>
      <c r="BL603" s="28">
        <v>764</v>
      </c>
    </row>
    <row r="604" spans="1:15" ht="12.75">
      <c r="A604" s="3"/>
      <c r="D604" s="136" t="s">
        <v>975</v>
      </c>
      <c r="E604" s="137"/>
      <c r="F604" s="137"/>
      <c r="G604" s="137"/>
      <c r="H604" s="137"/>
      <c r="I604" s="137"/>
      <c r="J604" s="137"/>
      <c r="K604" s="137"/>
      <c r="L604" s="137"/>
      <c r="M604" s="137"/>
      <c r="N604" s="138"/>
      <c r="O604" s="3"/>
    </row>
    <row r="605" spans="1:15" ht="12.75">
      <c r="A605" s="82"/>
      <c r="B605" s="83"/>
      <c r="C605" s="83"/>
      <c r="D605" s="85" t="s">
        <v>991</v>
      </c>
      <c r="G605" s="86" t="s">
        <v>1451</v>
      </c>
      <c r="H605" s="83"/>
      <c r="I605" s="88">
        <v>5</v>
      </c>
      <c r="J605" s="83"/>
      <c r="K605" s="83"/>
      <c r="L605" s="83"/>
      <c r="M605" s="83"/>
      <c r="N605" s="80"/>
      <c r="O605" s="67"/>
    </row>
    <row r="606" spans="1:15" ht="12.75">
      <c r="A606" s="3"/>
      <c r="C606" s="13" t="s">
        <v>302</v>
      </c>
      <c r="D606" s="145" t="s">
        <v>984</v>
      </c>
      <c r="E606" s="146"/>
      <c r="F606" s="146"/>
      <c r="G606" s="146"/>
      <c r="H606" s="146"/>
      <c r="I606" s="146"/>
      <c r="J606" s="146"/>
      <c r="K606" s="146"/>
      <c r="L606" s="146"/>
      <c r="M606" s="146"/>
      <c r="N606" s="147"/>
      <c r="O606" s="3"/>
    </row>
    <row r="607" spans="1:15" ht="12.75">
      <c r="A607" s="3"/>
      <c r="C607" s="12" t="s">
        <v>296</v>
      </c>
      <c r="D607" s="142" t="s">
        <v>956</v>
      </c>
      <c r="E607" s="143"/>
      <c r="F607" s="143"/>
      <c r="G607" s="143"/>
      <c r="H607" s="143"/>
      <c r="I607" s="143"/>
      <c r="J607" s="143"/>
      <c r="K607" s="143"/>
      <c r="L607" s="143"/>
      <c r="M607" s="143"/>
      <c r="N607" s="144"/>
      <c r="O607" s="3"/>
    </row>
    <row r="608" spans="1:64" ht="12.75">
      <c r="A608" s="74" t="s">
        <v>135</v>
      </c>
      <c r="B608" s="74" t="s">
        <v>283</v>
      </c>
      <c r="C608" s="74" t="s">
        <v>425</v>
      </c>
      <c r="D608" s="133" t="s">
        <v>992</v>
      </c>
      <c r="E608" s="134"/>
      <c r="F608" s="134"/>
      <c r="G608" s="135"/>
      <c r="H608" s="74" t="s">
        <v>1539</v>
      </c>
      <c r="I608" s="75">
        <v>54.5</v>
      </c>
      <c r="J608" s="75">
        <v>0</v>
      </c>
      <c r="K608" s="75">
        <f>I608*AO608</f>
        <v>0</v>
      </c>
      <c r="L608" s="75">
        <f>I608*AP608</f>
        <v>0</v>
      </c>
      <c r="M608" s="75">
        <f>I608*J608</f>
        <v>0</v>
      </c>
      <c r="N608" s="78" t="s">
        <v>1556</v>
      </c>
      <c r="O608" s="67"/>
      <c r="Z608" s="28">
        <f>IF(AQ608="5",BJ608,0)</f>
        <v>0</v>
      </c>
      <c r="AB608" s="28">
        <f>IF(AQ608="1",BH608,0)</f>
        <v>0</v>
      </c>
      <c r="AC608" s="28">
        <f>IF(AQ608="1",BI608,0)</f>
        <v>0</v>
      </c>
      <c r="AD608" s="28">
        <f>IF(AQ608="7",BH608,0)</f>
        <v>0</v>
      </c>
      <c r="AE608" s="28">
        <f>IF(AQ608="7",BI608,0)</f>
        <v>0</v>
      </c>
      <c r="AF608" s="28">
        <f>IF(AQ608="2",BH608,0)</f>
        <v>0</v>
      </c>
      <c r="AG608" s="28">
        <f>IF(AQ608="2",BI608,0)</f>
        <v>0</v>
      </c>
      <c r="AH608" s="28">
        <f>IF(AQ608="0",BJ608,0)</f>
        <v>0</v>
      </c>
      <c r="AI608" s="27" t="s">
        <v>283</v>
      </c>
      <c r="AJ608" s="18">
        <f>IF(AN608=0,M608,0)</f>
        <v>0</v>
      </c>
      <c r="AK608" s="18">
        <f>IF(AN608=15,M608,0)</f>
        <v>0</v>
      </c>
      <c r="AL608" s="18">
        <f>IF(AN608=21,M608,0)</f>
        <v>0</v>
      </c>
      <c r="AN608" s="28">
        <v>15</v>
      </c>
      <c r="AO608" s="28">
        <f>J608*0.281878557874763</f>
        <v>0</v>
      </c>
      <c r="AP608" s="28">
        <f>J608*(1-0.281878557874763)</f>
        <v>0</v>
      </c>
      <c r="AQ608" s="29" t="s">
        <v>13</v>
      </c>
      <c r="AV608" s="28">
        <f>AW608+AX608</f>
        <v>0</v>
      </c>
      <c r="AW608" s="28">
        <f>I608*AO608</f>
        <v>0</v>
      </c>
      <c r="AX608" s="28">
        <f>I608*AP608</f>
        <v>0</v>
      </c>
      <c r="AY608" s="31" t="s">
        <v>1593</v>
      </c>
      <c r="AZ608" s="31" t="s">
        <v>1622</v>
      </c>
      <c r="BA608" s="27" t="s">
        <v>1628</v>
      </c>
      <c r="BC608" s="28">
        <f>AW608+AX608</f>
        <v>0</v>
      </c>
      <c r="BD608" s="28">
        <f>J608/(100-BE608)*100</f>
        <v>0</v>
      </c>
      <c r="BE608" s="28">
        <v>0</v>
      </c>
      <c r="BF608" s="28">
        <f>608</f>
        <v>608</v>
      </c>
      <c r="BH608" s="18">
        <f>I608*AO608</f>
        <v>0</v>
      </c>
      <c r="BI608" s="18">
        <f>I608*AP608</f>
        <v>0</v>
      </c>
      <c r="BJ608" s="18">
        <f>I608*J608</f>
        <v>0</v>
      </c>
      <c r="BK608" s="18" t="s">
        <v>1634</v>
      </c>
      <c r="BL608" s="28">
        <v>764</v>
      </c>
    </row>
    <row r="609" spans="1:15" ht="12.75">
      <c r="A609" s="3"/>
      <c r="D609" s="136" t="s">
        <v>993</v>
      </c>
      <c r="E609" s="137"/>
      <c r="F609" s="137"/>
      <c r="G609" s="137"/>
      <c r="H609" s="137"/>
      <c r="I609" s="137"/>
      <c r="J609" s="137"/>
      <c r="K609" s="137"/>
      <c r="L609" s="137"/>
      <c r="M609" s="137"/>
      <c r="N609" s="138"/>
      <c r="O609" s="3"/>
    </row>
    <row r="610" spans="1:15" ht="12.75">
      <c r="A610" s="89"/>
      <c r="B610" s="90"/>
      <c r="C610" s="90"/>
      <c r="D610" s="84" t="s">
        <v>994</v>
      </c>
      <c r="G610" s="91" t="s">
        <v>1452</v>
      </c>
      <c r="H610" s="90"/>
      <c r="I610" s="92">
        <v>7.2</v>
      </c>
      <c r="J610" s="90"/>
      <c r="K610" s="90"/>
      <c r="L610" s="90"/>
      <c r="M610" s="90"/>
      <c r="N610" s="79"/>
      <c r="O610" s="67"/>
    </row>
    <row r="611" spans="1:15" ht="12.75">
      <c r="A611" s="89"/>
      <c r="B611" s="90"/>
      <c r="C611" s="90"/>
      <c r="D611" s="84" t="s">
        <v>995</v>
      </c>
      <c r="G611" s="91" t="s">
        <v>1453</v>
      </c>
      <c r="H611" s="90"/>
      <c r="I611" s="92">
        <v>0.7</v>
      </c>
      <c r="J611" s="90"/>
      <c r="K611" s="90"/>
      <c r="L611" s="90"/>
      <c r="M611" s="90"/>
      <c r="N611" s="79"/>
      <c r="O611" s="67"/>
    </row>
    <row r="612" spans="1:15" ht="12.75">
      <c r="A612" s="89"/>
      <c r="B612" s="90"/>
      <c r="C612" s="90"/>
      <c r="D612" s="84" t="s">
        <v>996</v>
      </c>
      <c r="G612" s="91" t="s">
        <v>1454</v>
      </c>
      <c r="H612" s="90"/>
      <c r="I612" s="92">
        <v>7.5</v>
      </c>
      <c r="J612" s="90"/>
      <c r="K612" s="90"/>
      <c r="L612" s="90"/>
      <c r="M612" s="90"/>
      <c r="N612" s="79"/>
      <c r="O612" s="67"/>
    </row>
    <row r="613" spans="1:15" ht="12.75">
      <c r="A613" s="89"/>
      <c r="B613" s="90"/>
      <c r="C613" s="90"/>
      <c r="D613" s="84" t="s">
        <v>997</v>
      </c>
      <c r="G613" s="91" t="s">
        <v>1455</v>
      </c>
      <c r="H613" s="90"/>
      <c r="I613" s="92">
        <v>7.6</v>
      </c>
      <c r="J613" s="90"/>
      <c r="K613" s="90"/>
      <c r="L613" s="90"/>
      <c r="M613" s="90"/>
      <c r="N613" s="79"/>
      <c r="O613" s="67"/>
    </row>
    <row r="614" spans="1:15" ht="12.75">
      <c r="A614" s="89"/>
      <c r="B614" s="90"/>
      <c r="C614" s="90"/>
      <c r="D614" s="84" t="s">
        <v>996</v>
      </c>
      <c r="G614" s="91" t="s">
        <v>1456</v>
      </c>
      <c r="H614" s="90"/>
      <c r="I614" s="92">
        <v>7.5</v>
      </c>
      <c r="J614" s="90"/>
      <c r="K614" s="90"/>
      <c r="L614" s="90"/>
      <c r="M614" s="90"/>
      <c r="N614" s="79"/>
      <c r="O614" s="67"/>
    </row>
    <row r="615" spans="1:15" ht="12.75">
      <c r="A615" s="89"/>
      <c r="B615" s="90"/>
      <c r="C615" s="90"/>
      <c r="D615" s="84" t="s">
        <v>998</v>
      </c>
      <c r="G615" s="91" t="s">
        <v>1457</v>
      </c>
      <c r="H615" s="90"/>
      <c r="I615" s="92">
        <v>22.5</v>
      </c>
      <c r="J615" s="90"/>
      <c r="K615" s="90"/>
      <c r="L615" s="90"/>
      <c r="M615" s="90"/>
      <c r="N615" s="79"/>
      <c r="O615" s="67"/>
    </row>
    <row r="616" spans="1:15" ht="12.75">
      <c r="A616" s="82"/>
      <c r="B616" s="83"/>
      <c r="C616" s="83"/>
      <c r="D616" s="85" t="s">
        <v>999</v>
      </c>
      <c r="G616" s="86" t="s">
        <v>1458</v>
      </c>
      <c r="H616" s="83"/>
      <c r="I616" s="88">
        <v>1.5</v>
      </c>
      <c r="J616" s="83"/>
      <c r="K616" s="83"/>
      <c r="L616" s="83"/>
      <c r="M616" s="83"/>
      <c r="N616" s="80"/>
      <c r="O616" s="67"/>
    </row>
    <row r="617" spans="1:15" ht="12.75">
      <c r="A617" s="3"/>
      <c r="C617" s="13" t="s">
        <v>302</v>
      </c>
      <c r="D617" s="145" t="s">
        <v>1000</v>
      </c>
      <c r="E617" s="146"/>
      <c r="F617" s="146"/>
      <c r="G617" s="146"/>
      <c r="H617" s="146"/>
      <c r="I617" s="146"/>
      <c r="J617" s="146"/>
      <c r="K617" s="146"/>
      <c r="L617" s="146"/>
      <c r="M617" s="146"/>
      <c r="N617" s="147"/>
      <c r="O617" s="3"/>
    </row>
    <row r="618" spans="1:15" ht="12.75">
      <c r="A618" s="3"/>
      <c r="C618" s="12" t="s">
        <v>296</v>
      </c>
      <c r="D618" s="142" t="s">
        <v>956</v>
      </c>
      <c r="E618" s="143"/>
      <c r="F618" s="143"/>
      <c r="G618" s="143"/>
      <c r="H618" s="143"/>
      <c r="I618" s="143"/>
      <c r="J618" s="143"/>
      <c r="K618" s="143"/>
      <c r="L618" s="143"/>
      <c r="M618" s="143"/>
      <c r="N618" s="144"/>
      <c r="O618" s="3"/>
    </row>
    <row r="619" spans="1:64" ht="12.75">
      <c r="A619" s="81" t="s">
        <v>136</v>
      </c>
      <c r="B619" s="81" t="s">
        <v>283</v>
      </c>
      <c r="C619" s="81" t="s">
        <v>426</v>
      </c>
      <c r="D619" s="139" t="s">
        <v>1001</v>
      </c>
      <c r="E619" s="134"/>
      <c r="F619" s="134"/>
      <c r="G619" s="140"/>
      <c r="H619" s="81" t="s">
        <v>1539</v>
      </c>
      <c r="I619" s="87">
        <v>54.86</v>
      </c>
      <c r="J619" s="87">
        <v>0</v>
      </c>
      <c r="K619" s="87">
        <f>I619*AO619</f>
        <v>0</v>
      </c>
      <c r="L619" s="87">
        <f>I619*AP619</f>
        <v>0</v>
      </c>
      <c r="M619" s="87">
        <f>I619*J619</f>
        <v>0</v>
      </c>
      <c r="N619" s="77" t="s">
        <v>1556</v>
      </c>
      <c r="O619" s="67"/>
      <c r="Z619" s="28">
        <f>IF(AQ619="5",BJ619,0)</f>
        <v>0</v>
      </c>
      <c r="AB619" s="28">
        <f>IF(AQ619="1",BH619,0)</f>
        <v>0</v>
      </c>
      <c r="AC619" s="28">
        <f>IF(AQ619="1",BI619,0)</f>
        <v>0</v>
      </c>
      <c r="AD619" s="28">
        <f>IF(AQ619="7",BH619,0)</f>
        <v>0</v>
      </c>
      <c r="AE619" s="28">
        <f>IF(AQ619="7",BI619,0)</f>
        <v>0</v>
      </c>
      <c r="AF619" s="28">
        <f>IF(AQ619="2",BH619,0)</f>
        <v>0</v>
      </c>
      <c r="AG619" s="28">
        <f>IF(AQ619="2",BI619,0)</f>
        <v>0</v>
      </c>
      <c r="AH619" s="28">
        <f>IF(AQ619="0",BJ619,0)</f>
        <v>0</v>
      </c>
      <c r="AI619" s="27" t="s">
        <v>283</v>
      </c>
      <c r="AJ619" s="18">
        <f>IF(AN619=0,M619,0)</f>
        <v>0</v>
      </c>
      <c r="AK619" s="18">
        <f>IF(AN619=15,M619,0)</f>
        <v>0</v>
      </c>
      <c r="AL619" s="18">
        <f>IF(AN619=21,M619,0)</f>
        <v>0</v>
      </c>
      <c r="AN619" s="28">
        <v>15</v>
      </c>
      <c r="AO619" s="28">
        <f>J619*0.0227012987012987</f>
        <v>0</v>
      </c>
      <c r="AP619" s="28">
        <f>J619*(1-0.0227012987012987)</f>
        <v>0</v>
      </c>
      <c r="AQ619" s="29" t="s">
        <v>13</v>
      </c>
      <c r="AV619" s="28">
        <f>AW619+AX619</f>
        <v>0</v>
      </c>
      <c r="AW619" s="28">
        <f>I619*AO619</f>
        <v>0</v>
      </c>
      <c r="AX619" s="28">
        <f>I619*AP619</f>
        <v>0</v>
      </c>
      <c r="AY619" s="31" t="s">
        <v>1593</v>
      </c>
      <c r="AZ619" s="31" t="s">
        <v>1622</v>
      </c>
      <c r="BA619" s="27" t="s">
        <v>1628</v>
      </c>
      <c r="BC619" s="28">
        <f>AW619+AX619</f>
        <v>0</v>
      </c>
      <c r="BD619" s="28">
        <f>J619/(100-BE619)*100</f>
        <v>0</v>
      </c>
      <c r="BE619" s="28">
        <v>0</v>
      </c>
      <c r="BF619" s="28">
        <f>619</f>
        <v>619</v>
      </c>
      <c r="BH619" s="18">
        <f>I619*AO619</f>
        <v>0</v>
      </c>
      <c r="BI619" s="18">
        <f>I619*AP619</f>
        <v>0</v>
      </c>
      <c r="BJ619" s="18">
        <f>I619*J619</f>
        <v>0</v>
      </c>
      <c r="BK619" s="18" t="s">
        <v>1634</v>
      </c>
      <c r="BL619" s="28">
        <v>764</v>
      </c>
    </row>
    <row r="620" spans="1:15" ht="12.75">
      <c r="A620" s="89"/>
      <c r="B620" s="90"/>
      <c r="C620" s="90"/>
      <c r="D620" s="84" t="s">
        <v>1002</v>
      </c>
      <c r="G620" s="91" t="s">
        <v>1459</v>
      </c>
      <c r="H620" s="90"/>
      <c r="I620" s="92">
        <v>22</v>
      </c>
      <c r="J620" s="90"/>
      <c r="K620" s="90"/>
      <c r="L620" s="90"/>
      <c r="M620" s="90"/>
      <c r="N620" s="79"/>
      <c r="O620" s="67"/>
    </row>
    <row r="621" spans="1:15" ht="12.75">
      <c r="A621" s="89"/>
      <c r="B621" s="90"/>
      <c r="C621" s="90"/>
      <c r="D621" s="84" t="s">
        <v>1003</v>
      </c>
      <c r="G621" s="91" t="s">
        <v>1460</v>
      </c>
      <c r="H621" s="90"/>
      <c r="I621" s="92">
        <v>20.46</v>
      </c>
      <c r="J621" s="90"/>
      <c r="K621" s="90"/>
      <c r="L621" s="90"/>
      <c r="M621" s="90"/>
      <c r="N621" s="79"/>
      <c r="O621" s="67"/>
    </row>
    <row r="622" spans="1:15" ht="12.75">
      <c r="A622" s="82"/>
      <c r="B622" s="83"/>
      <c r="C622" s="83"/>
      <c r="D622" s="85" t="s">
        <v>1004</v>
      </c>
      <c r="G622" s="86" t="s">
        <v>1461</v>
      </c>
      <c r="H622" s="83"/>
      <c r="I622" s="88">
        <v>12.4</v>
      </c>
      <c r="J622" s="83"/>
      <c r="K622" s="83"/>
      <c r="L622" s="83"/>
      <c r="M622" s="83"/>
      <c r="N622" s="80"/>
      <c r="O622" s="67"/>
    </row>
    <row r="623" spans="1:15" ht="25.5" customHeight="1">
      <c r="A623" s="3"/>
      <c r="C623" s="13" t="s">
        <v>302</v>
      </c>
      <c r="D623" s="145" t="s">
        <v>1005</v>
      </c>
      <c r="E623" s="146"/>
      <c r="F623" s="146"/>
      <c r="G623" s="146"/>
      <c r="H623" s="146"/>
      <c r="I623" s="146"/>
      <c r="J623" s="146"/>
      <c r="K623" s="146"/>
      <c r="L623" s="146"/>
      <c r="M623" s="146"/>
      <c r="N623" s="147"/>
      <c r="O623" s="3"/>
    </row>
    <row r="624" spans="1:15" ht="12.75">
      <c r="A624" s="3"/>
      <c r="C624" s="12" t="s">
        <v>296</v>
      </c>
      <c r="D624" s="142" t="s">
        <v>956</v>
      </c>
      <c r="E624" s="143"/>
      <c r="F624" s="143"/>
      <c r="G624" s="143"/>
      <c r="H624" s="143"/>
      <c r="I624" s="143"/>
      <c r="J624" s="143"/>
      <c r="K624" s="143"/>
      <c r="L624" s="143"/>
      <c r="M624" s="143"/>
      <c r="N624" s="144"/>
      <c r="O624" s="3"/>
    </row>
    <row r="625" spans="1:64" ht="12.75">
      <c r="A625" s="74" t="s">
        <v>137</v>
      </c>
      <c r="B625" s="74" t="s">
        <v>283</v>
      </c>
      <c r="C625" s="74" t="s">
        <v>427</v>
      </c>
      <c r="D625" s="133" t="s">
        <v>1006</v>
      </c>
      <c r="E625" s="134"/>
      <c r="F625" s="134"/>
      <c r="G625" s="135"/>
      <c r="H625" s="74" t="s">
        <v>1539</v>
      </c>
      <c r="I625" s="75">
        <v>21.3</v>
      </c>
      <c r="J625" s="75">
        <v>0</v>
      </c>
      <c r="K625" s="75">
        <f>I625*AO625</f>
        <v>0</v>
      </c>
      <c r="L625" s="75">
        <f>I625*AP625</f>
        <v>0</v>
      </c>
      <c r="M625" s="75">
        <f>I625*J625</f>
        <v>0</v>
      </c>
      <c r="N625" s="78" t="s">
        <v>1556</v>
      </c>
      <c r="O625" s="67"/>
      <c r="Z625" s="28">
        <f>IF(AQ625="5",BJ625,0)</f>
        <v>0</v>
      </c>
      <c r="AB625" s="28">
        <f>IF(AQ625="1",BH625,0)</f>
        <v>0</v>
      </c>
      <c r="AC625" s="28">
        <f>IF(AQ625="1",BI625,0)</f>
        <v>0</v>
      </c>
      <c r="AD625" s="28">
        <f>IF(AQ625="7",BH625,0)</f>
        <v>0</v>
      </c>
      <c r="AE625" s="28">
        <f>IF(AQ625="7",BI625,0)</f>
        <v>0</v>
      </c>
      <c r="AF625" s="28">
        <f>IF(AQ625="2",BH625,0)</f>
        <v>0</v>
      </c>
      <c r="AG625" s="28">
        <f>IF(AQ625="2",BI625,0)</f>
        <v>0</v>
      </c>
      <c r="AH625" s="28">
        <f>IF(AQ625="0",BJ625,0)</f>
        <v>0</v>
      </c>
      <c r="AI625" s="27" t="s">
        <v>283</v>
      </c>
      <c r="AJ625" s="18">
        <f>IF(AN625=0,M625,0)</f>
        <v>0</v>
      </c>
      <c r="AK625" s="18">
        <f>IF(AN625=15,M625,0)</f>
        <v>0</v>
      </c>
      <c r="AL625" s="18">
        <f>IF(AN625=21,M625,0)</f>
        <v>0</v>
      </c>
      <c r="AN625" s="28">
        <v>15</v>
      </c>
      <c r="AO625" s="28">
        <f>J625*0.632155172413793</f>
        <v>0</v>
      </c>
      <c r="AP625" s="28">
        <f>J625*(1-0.632155172413793)</f>
        <v>0</v>
      </c>
      <c r="AQ625" s="29" t="s">
        <v>13</v>
      </c>
      <c r="AV625" s="28">
        <f>AW625+AX625</f>
        <v>0</v>
      </c>
      <c r="AW625" s="28">
        <f>I625*AO625</f>
        <v>0</v>
      </c>
      <c r="AX625" s="28">
        <f>I625*AP625</f>
        <v>0</v>
      </c>
      <c r="AY625" s="31" t="s">
        <v>1593</v>
      </c>
      <c r="AZ625" s="31" t="s">
        <v>1622</v>
      </c>
      <c r="BA625" s="27" t="s">
        <v>1628</v>
      </c>
      <c r="BC625" s="28">
        <f>AW625+AX625</f>
        <v>0</v>
      </c>
      <c r="BD625" s="28">
        <f>J625/(100-BE625)*100</f>
        <v>0</v>
      </c>
      <c r="BE625" s="28">
        <v>0</v>
      </c>
      <c r="BF625" s="28">
        <f>625</f>
        <v>625</v>
      </c>
      <c r="BH625" s="18">
        <f>I625*AO625</f>
        <v>0</v>
      </c>
      <c r="BI625" s="18">
        <f>I625*AP625</f>
        <v>0</v>
      </c>
      <c r="BJ625" s="18">
        <f>I625*J625</f>
        <v>0</v>
      </c>
      <c r="BK625" s="18" t="s">
        <v>1634</v>
      </c>
      <c r="BL625" s="28">
        <v>764</v>
      </c>
    </row>
    <row r="626" spans="1:15" ht="12.75">
      <c r="A626" s="3"/>
      <c r="D626" s="136" t="s">
        <v>1007</v>
      </c>
      <c r="E626" s="137"/>
      <c r="F626" s="137"/>
      <c r="G626" s="137"/>
      <c r="H626" s="137"/>
      <c r="I626" s="137"/>
      <c r="J626" s="137"/>
      <c r="K626" s="137"/>
      <c r="L626" s="137"/>
      <c r="M626" s="137"/>
      <c r="N626" s="138"/>
      <c r="O626" s="3"/>
    </row>
    <row r="627" spans="1:15" ht="12.75">
      <c r="A627" s="89"/>
      <c r="B627" s="90"/>
      <c r="C627" s="90"/>
      <c r="D627" s="84" t="s">
        <v>1008</v>
      </c>
      <c r="G627" s="91" t="s">
        <v>1462</v>
      </c>
      <c r="H627" s="90"/>
      <c r="I627" s="92">
        <v>9.3</v>
      </c>
      <c r="J627" s="90"/>
      <c r="K627" s="90"/>
      <c r="L627" s="90"/>
      <c r="M627" s="90"/>
      <c r="N627" s="79"/>
      <c r="O627" s="67"/>
    </row>
    <row r="628" spans="1:15" ht="12.75">
      <c r="A628" s="82"/>
      <c r="B628" s="83"/>
      <c r="C628" s="83"/>
      <c r="D628" s="85" t="s">
        <v>18</v>
      </c>
      <c r="G628" s="86" t="s">
        <v>1463</v>
      </c>
      <c r="H628" s="83"/>
      <c r="I628" s="88">
        <v>12</v>
      </c>
      <c r="J628" s="83"/>
      <c r="K628" s="83"/>
      <c r="L628" s="83"/>
      <c r="M628" s="83"/>
      <c r="N628" s="80"/>
      <c r="O628" s="67"/>
    </row>
    <row r="629" spans="1:15" ht="12.75">
      <c r="A629" s="3"/>
      <c r="C629" s="13" t="s">
        <v>302</v>
      </c>
      <c r="D629" s="145" t="s">
        <v>1009</v>
      </c>
      <c r="E629" s="146"/>
      <c r="F629" s="146"/>
      <c r="G629" s="146"/>
      <c r="H629" s="146"/>
      <c r="I629" s="146"/>
      <c r="J629" s="146"/>
      <c r="K629" s="146"/>
      <c r="L629" s="146"/>
      <c r="M629" s="146"/>
      <c r="N629" s="147"/>
      <c r="O629" s="3"/>
    </row>
    <row r="630" spans="1:15" ht="12.75">
      <c r="A630" s="3"/>
      <c r="C630" s="12" t="s">
        <v>296</v>
      </c>
      <c r="D630" s="142" t="s">
        <v>956</v>
      </c>
      <c r="E630" s="143"/>
      <c r="F630" s="143"/>
      <c r="G630" s="143"/>
      <c r="H630" s="143"/>
      <c r="I630" s="143"/>
      <c r="J630" s="143"/>
      <c r="K630" s="143"/>
      <c r="L630" s="143"/>
      <c r="M630" s="143"/>
      <c r="N630" s="144"/>
      <c r="O630" s="3"/>
    </row>
    <row r="631" spans="1:64" ht="12.75">
      <c r="A631" s="81" t="s">
        <v>138</v>
      </c>
      <c r="B631" s="81" t="s">
        <v>283</v>
      </c>
      <c r="C631" s="81" t="s">
        <v>428</v>
      </c>
      <c r="D631" s="139" t="s">
        <v>1010</v>
      </c>
      <c r="E631" s="134"/>
      <c r="F631" s="134"/>
      <c r="G631" s="140"/>
      <c r="H631" s="81" t="s">
        <v>1539</v>
      </c>
      <c r="I631" s="87">
        <v>31.9</v>
      </c>
      <c r="J631" s="87">
        <v>0</v>
      </c>
      <c r="K631" s="87">
        <f>I631*AO631</f>
        <v>0</v>
      </c>
      <c r="L631" s="87">
        <f>I631*AP631</f>
        <v>0</v>
      </c>
      <c r="M631" s="87">
        <f>I631*J631</f>
        <v>0</v>
      </c>
      <c r="N631" s="77" t="s">
        <v>1556</v>
      </c>
      <c r="O631" s="67"/>
      <c r="Z631" s="28">
        <f>IF(AQ631="5",BJ631,0)</f>
        <v>0</v>
      </c>
      <c r="AB631" s="28">
        <f>IF(AQ631="1",BH631,0)</f>
        <v>0</v>
      </c>
      <c r="AC631" s="28">
        <f>IF(AQ631="1",BI631,0)</f>
        <v>0</v>
      </c>
      <c r="AD631" s="28">
        <f>IF(AQ631="7",BH631,0)</f>
        <v>0</v>
      </c>
      <c r="AE631" s="28">
        <f>IF(AQ631="7",BI631,0)</f>
        <v>0</v>
      </c>
      <c r="AF631" s="28">
        <f>IF(AQ631="2",BH631,0)</f>
        <v>0</v>
      </c>
      <c r="AG631" s="28">
        <f>IF(AQ631="2",BI631,0)</f>
        <v>0</v>
      </c>
      <c r="AH631" s="28">
        <f>IF(AQ631="0",BJ631,0)</f>
        <v>0</v>
      </c>
      <c r="AI631" s="27" t="s">
        <v>283</v>
      </c>
      <c r="AJ631" s="18">
        <f>IF(AN631=0,M631,0)</f>
        <v>0</v>
      </c>
      <c r="AK631" s="18">
        <f>IF(AN631=15,M631,0)</f>
        <v>0</v>
      </c>
      <c r="AL631" s="18">
        <f>IF(AN631=21,M631,0)</f>
        <v>0</v>
      </c>
      <c r="AN631" s="28">
        <v>15</v>
      </c>
      <c r="AO631" s="28">
        <f>J631*0</f>
        <v>0</v>
      </c>
      <c r="AP631" s="28">
        <f>J631*(1-0)</f>
        <v>0</v>
      </c>
      <c r="AQ631" s="29" t="s">
        <v>13</v>
      </c>
      <c r="AV631" s="28">
        <f>AW631+AX631</f>
        <v>0</v>
      </c>
      <c r="AW631" s="28">
        <f>I631*AO631</f>
        <v>0</v>
      </c>
      <c r="AX631" s="28">
        <f>I631*AP631</f>
        <v>0</v>
      </c>
      <c r="AY631" s="31" t="s">
        <v>1593</v>
      </c>
      <c r="AZ631" s="31" t="s">
        <v>1622</v>
      </c>
      <c r="BA631" s="27" t="s">
        <v>1628</v>
      </c>
      <c r="BC631" s="28">
        <f>AW631+AX631</f>
        <v>0</v>
      </c>
      <c r="BD631" s="28">
        <f>J631/(100-BE631)*100</f>
        <v>0</v>
      </c>
      <c r="BE631" s="28">
        <v>0</v>
      </c>
      <c r="BF631" s="28">
        <f>631</f>
        <v>631</v>
      </c>
      <c r="BH631" s="18">
        <f>I631*AO631</f>
        <v>0</v>
      </c>
      <c r="BI631" s="18">
        <f>I631*AP631</f>
        <v>0</v>
      </c>
      <c r="BJ631" s="18">
        <f>I631*J631</f>
        <v>0</v>
      </c>
      <c r="BK631" s="18" t="s">
        <v>1634</v>
      </c>
      <c r="BL631" s="28">
        <v>764</v>
      </c>
    </row>
    <row r="632" spans="1:15" ht="12.75">
      <c r="A632" s="89"/>
      <c r="B632" s="90"/>
      <c r="C632" s="90"/>
      <c r="D632" s="84" t="s">
        <v>1011</v>
      </c>
      <c r="G632" s="91" t="s">
        <v>1464</v>
      </c>
      <c r="H632" s="90"/>
      <c r="I632" s="92">
        <v>17.6</v>
      </c>
      <c r="J632" s="90"/>
      <c r="K632" s="90"/>
      <c r="L632" s="90"/>
      <c r="M632" s="90"/>
      <c r="N632" s="79"/>
      <c r="O632" s="67"/>
    </row>
    <row r="633" spans="1:15" ht="12.75">
      <c r="A633" s="82"/>
      <c r="B633" s="83"/>
      <c r="C633" s="83"/>
      <c r="D633" s="85" t="s">
        <v>1012</v>
      </c>
      <c r="G633" s="86"/>
      <c r="H633" s="83"/>
      <c r="I633" s="88">
        <v>14.3</v>
      </c>
      <c r="J633" s="83"/>
      <c r="K633" s="83"/>
      <c r="L633" s="83"/>
      <c r="M633" s="83"/>
      <c r="N633" s="80"/>
      <c r="O633" s="67"/>
    </row>
    <row r="634" spans="1:15" ht="12.75">
      <c r="A634" s="3"/>
      <c r="C634" s="13" t="s">
        <v>302</v>
      </c>
      <c r="D634" s="145" t="s">
        <v>1013</v>
      </c>
      <c r="E634" s="146"/>
      <c r="F634" s="146"/>
      <c r="G634" s="146"/>
      <c r="H634" s="146"/>
      <c r="I634" s="146"/>
      <c r="J634" s="146"/>
      <c r="K634" s="146"/>
      <c r="L634" s="146"/>
      <c r="M634" s="146"/>
      <c r="N634" s="147"/>
      <c r="O634" s="3"/>
    </row>
    <row r="635" spans="1:15" ht="12.75">
      <c r="A635" s="3"/>
      <c r="C635" s="12" t="s">
        <v>296</v>
      </c>
      <c r="D635" s="142" t="s">
        <v>956</v>
      </c>
      <c r="E635" s="143"/>
      <c r="F635" s="143"/>
      <c r="G635" s="143"/>
      <c r="H635" s="143"/>
      <c r="I635" s="143"/>
      <c r="J635" s="143"/>
      <c r="K635" s="143"/>
      <c r="L635" s="143"/>
      <c r="M635" s="143"/>
      <c r="N635" s="144"/>
      <c r="O635" s="3"/>
    </row>
    <row r="636" spans="1:64" ht="12.75">
      <c r="A636" s="81" t="s">
        <v>139</v>
      </c>
      <c r="B636" s="81" t="s">
        <v>283</v>
      </c>
      <c r="C636" s="81" t="s">
        <v>429</v>
      </c>
      <c r="D636" s="139" t="s">
        <v>1014</v>
      </c>
      <c r="E636" s="134"/>
      <c r="F636" s="134"/>
      <c r="G636" s="140"/>
      <c r="H636" s="81" t="s">
        <v>1539</v>
      </c>
      <c r="I636" s="87">
        <v>34.31</v>
      </c>
      <c r="J636" s="87">
        <v>0</v>
      </c>
      <c r="K636" s="87">
        <f>I636*AO636</f>
        <v>0</v>
      </c>
      <c r="L636" s="87">
        <f>I636*AP636</f>
        <v>0</v>
      </c>
      <c r="M636" s="87">
        <f>I636*J636</f>
        <v>0</v>
      </c>
      <c r="N636" s="77" t="s">
        <v>1556</v>
      </c>
      <c r="O636" s="67"/>
      <c r="Z636" s="28">
        <f>IF(AQ636="5",BJ636,0)</f>
        <v>0</v>
      </c>
      <c r="AB636" s="28">
        <f>IF(AQ636="1",BH636,0)</f>
        <v>0</v>
      </c>
      <c r="AC636" s="28">
        <f>IF(AQ636="1",BI636,0)</f>
        <v>0</v>
      </c>
      <c r="AD636" s="28">
        <f>IF(AQ636="7",BH636,0)</f>
        <v>0</v>
      </c>
      <c r="AE636" s="28">
        <f>IF(AQ636="7",BI636,0)</f>
        <v>0</v>
      </c>
      <c r="AF636" s="28">
        <f>IF(AQ636="2",BH636,0)</f>
        <v>0</v>
      </c>
      <c r="AG636" s="28">
        <f>IF(AQ636="2",BI636,0)</f>
        <v>0</v>
      </c>
      <c r="AH636" s="28">
        <f>IF(AQ636="0",BJ636,0)</f>
        <v>0</v>
      </c>
      <c r="AI636" s="27" t="s">
        <v>283</v>
      </c>
      <c r="AJ636" s="18">
        <f>IF(AN636=0,M636,0)</f>
        <v>0</v>
      </c>
      <c r="AK636" s="18">
        <f>IF(AN636=15,M636,0)</f>
        <v>0</v>
      </c>
      <c r="AL636" s="18">
        <f>IF(AN636=21,M636,0)</f>
        <v>0</v>
      </c>
      <c r="AN636" s="28">
        <v>15</v>
      </c>
      <c r="AO636" s="28">
        <f>J636*0.499666889853722</f>
        <v>0</v>
      </c>
      <c r="AP636" s="28">
        <f>J636*(1-0.499666889853722)</f>
        <v>0</v>
      </c>
      <c r="AQ636" s="29" t="s">
        <v>13</v>
      </c>
      <c r="AV636" s="28">
        <f>AW636+AX636</f>
        <v>0</v>
      </c>
      <c r="AW636" s="28">
        <f>I636*AO636</f>
        <v>0</v>
      </c>
      <c r="AX636" s="28">
        <f>I636*AP636</f>
        <v>0</v>
      </c>
      <c r="AY636" s="31" t="s">
        <v>1593</v>
      </c>
      <c r="AZ636" s="31" t="s">
        <v>1622</v>
      </c>
      <c r="BA636" s="27" t="s">
        <v>1628</v>
      </c>
      <c r="BC636" s="28">
        <f>AW636+AX636</f>
        <v>0</v>
      </c>
      <c r="BD636" s="28">
        <f>J636/(100-BE636)*100</f>
        <v>0</v>
      </c>
      <c r="BE636" s="28">
        <v>0</v>
      </c>
      <c r="BF636" s="28">
        <f>636</f>
        <v>636</v>
      </c>
      <c r="BH636" s="18">
        <f>I636*AO636</f>
        <v>0</v>
      </c>
      <c r="BI636" s="18">
        <f>I636*AP636</f>
        <v>0</v>
      </c>
      <c r="BJ636" s="18">
        <f>I636*J636</f>
        <v>0</v>
      </c>
      <c r="BK636" s="18" t="s">
        <v>1634</v>
      </c>
      <c r="BL636" s="28">
        <v>764</v>
      </c>
    </row>
    <row r="637" spans="1:15" ht="12.75">
      <c r="A637" s="89"/>
      <c r="B637" s="90"/>
      <c r="C637" s="90"/>
      <c r="D637" s="84" t="s">
        <v>1015</v>
      </c>
      <c r="G637" s="91" t="s">
        <v>1465</v>
      </c>
      <c r="H637" s="90"/>
      <c r="I637" s="92">
        <v>14.08</v>
      </c>
      <c r="J637" s="90"/>
      <c r="K637" s="90"/>
      <c r="L637" s="90"/>
      <c r="M637" s="90"/>
      <c r="N637" s="79"/>
      <c r="O637" s="67"/>
    </row>
    <row r="638" spans="1:15" ht="12.75">
      <c r="A638" s="82"/>
      <c r="B638" s="83"/>
      <c r="C638" s="83"/>
      <c r="D638" s="85" t="s">
        <v>1016</v>
      </c>
      <c r="G638" s="86"/>
      <c r="H638" s="83"/>
      <c r="I638" s="88">
        <v>20.23</v>
      </c>
      <c r="J638" s="83"/>
      <c r="K638" s="83"/>
      <c r="L638" s="83"/>
      <c r="M638" s="83"/>
      <c r="N638" s="80"/>
      <c r="O638" s="67"/>
    </row>
    <row r="639" spans="1:15" ht="12.75">
      <c r="A639" s="3"/>
      <c r="C639" s="13" t="s">
        <v>302</v>
      </c>
      <c r="D639" s="145" t="s">
        <v>1017</v>
      </c>
      <c r="E639" s="146"/>
      <c r="F639" s="146"/>
      <c r="G639" s="146"/>
      <c r="H639" s="146"/>
      <c r="I639" s="146"/>
      <c r="J639" s="146"/>
      <c r="K639" s="146"/>
      <c r="L639" s="146"/>
      <c r="M639" s="146"/>
      <c r="N639" s="147"/>
      <c r="O639" s="3"/>
    </row>
    <row r="640" spans="1:15" ht="12.75">
      <c r="A640" s="3"/>
      <c r="C640" s="12" t="s">
        <v>296</v>
      </c>
      <c r="D640" s="142" t="s">
        <v>956</v>
      </c>
      <c r="E640" s="143"/>
      <c r="F640" s="143"/>
      <c r="G640" s="143"/>
      <c r="H640" s="143"/>
      <c r="I640" s="143"/>
      <c r="J640" s="143"/>
      <c r="K640" s="143"/>
      <c r="L640" s="143"/>
      <c r="M640" s="143"/>
      <c r="N640" s="144"/>
      <c r="O640" s="3"/>
    </row>
    <row r="641" spans="1:64" ht="12.75">
      <c r="A641" s="81" t="s">
        <v>140</v>
      </c>
      <c r="B641" s="81" t="s">
        <v>283</v>
      </c>
      <c r="C641" s="81" t="s">
        <v>430</v>
      </c>
      <c r="D641" s="139" t="s">
        <v>1018</v>
      </c>
      <c r="E641" s="134"/>
      <c r="F641" s="134"/>
      <c r="G641" s="140"/>
      <c r="H641" s="81" t="s">
        <v>1539</v>
      </c>
      <c r="I641" s="87">
        <v>32.1</v>
      </c>
      <c r="J641" s="87">
        <v>0</v>
      </c>
      <c r="K641" s="87">
        <f>I641*AO641</f>
        <v>0</v>
      </c>
      <c r="L641" s="87">
        <f>I641*AP641</f>
        <v>0</v>
      </c>
      <c r="M641" s="87">
        <f>I641*J641</f>
        <v>0</v>
      </c>
      <c r="N641" s="77" t="s">
        <v>1556</v>
      </c>
      <c r="O641" s="67"/>
      <c r="Z641" s="28">
        <f>IF(AQ641="5",BJ641,0)</f>
        <v>0</v>
      </c>
      <c r="AB641" s="28">
        <f>IF(AQ641="1",BH641,0)</f>
        <v>0</v>
      </c>
      <c r="AC641" s="28">
        <f>IF(AQ641="1",BI641,0)</f>
        <v>0</v>
      </c>
      <c r="AD641" s="28">
        <f>IF(AQ641="7",BH641,0)</f>
        <v>0</v>
      </c>
      <c r="AE641" s="28">
        <f>IF(AQ641="7",BI641,0)</f>
        <v>0</v>
      </c>
      <c r="AF641" s="28">
        <f>IF(AQ641="2",BH641,0)</f>
        <v>0</v>
      </c>
      <c r="AG641" s="28">
        <f>IF(AQ641="2",BI641,0)</f>
        <v>0</v>
      </c>
      <c r="AH641" s="28">
        <f>IF(AQ641="0",BJ641,0)</f>
        <v>0</v>
      </c>
      <c r="AI641" s="27" t="s">
        <v>283</v>
      </c>
      <c r="AJ641" s="18">
        <f>IF(AN641=0,M641,0)</f>
        <v>0</v>
      </c>
      <c r="AK641" s="18">
        <f>IF(AN641=15,M641,0)</f>
        <v>0</v>
      </c>
      <c r="AL641" s="18">
        <f>IF(AN641=21,M641,0)</f>
        <v>0</v>
      </c>
      <c r="AN641" s="28">
        <v>15</v>
      </c>
      <c r="AO641" s="28">
        <f>J641*0</f>
        <v>0</v>
      </c>
      <c r="AP641" s="28">
        <f>J641*(1-0)</f>
        <v>0</v>
      </c>
      <c r="AQ641" s="29" t="s">
        <v>13</v>
      </c>
      <c r="AV641" s="28">
        <f>AW641+AX641</f>
        <v>0</v>
      </c>
      <c r="AW641" s="28">
        <f>I641*AO641</f>
        <v>0</v>
      </c>
      <c r="AX641" s="28">
        <f>I641*AP641</f>
        <v>0</v>
      </c>
      <c r="AY641" s="31" t="s">
        <v>1593</v>
      </c>
      <c r="AZ641" s="31" t="s">
        <v>1622</v>
      </c>
      <c r="BA641" s="27" t="s">
        <v>1628</v>
      </c>
      <c r="BC641" s="28">
        <f>AW641+AX641</f>
        <v>0</v>
      </c>
      <c r="BD641" s="28">
        <f>J641/(100-BE641)*100</f>
        <v>0</v>
      </c>
      <c r="BE641" s="28">
        <v>0</v>
      </c>
      <c r="BF641" s="28">
        <f>641</f>
        <v>641</v>
      </c>
      <c r="BH641" s="18">
        <f>I641*AO641</f>
        <v>0</v>
      </c>
      <c r="BI641" s="18">
        <f>I641*AP641</f>
        <v>0</v>
      </c>
      <c r="BJ641" s="18">
        <f>I641*J641</f>
        <v>0</v>
      </c>
      <c r="BK641" s="18" t="s">
        <v>1634</v>
      </c>
      <c r="BL641" s="28">
        <v>764</v>
      </c>
    </row>
    <row r="642" spans="1:15" ht="12.75">
      <c r="A642" s="82"/>
      <c r="B642" s="83"/>
      <c r="C642" s="83"/>
      <c r="D642" s="85" t="s">
        <v>1019</v>
      </c>
      <c r="G642" s="86" t="s">
        <v>1465</v>
      </c>
      <c r="H642" s="83"/>
      <c r="I642" s="88">
        <v>32.1</v>
      </c>
      <c r="J642" s="83"/>
      <c r="K642" s="83"/>
      <c r="L642" s="83"/>
      <c r="M642" s="83"/>
      <c r="N642" s="80"/>
      <c r="O642" s="67"/>
    </row>
    <row r="643" spans="1:15" ht="12.75">
      <c r="A643" s="3"/>
      <c r="C643" s="13" t="s">
        <v>302</v>
      </c>
      <c r="D643" s="145" t="s">
        <v>1020</v>
      </c>
      <c r="E643" s="146"/>
      <c r="F643" s="146"/>
      <c r="G643" s="146"/>
      <c r="H643" s="146"/>
      <c r="I643" s="146"/>
      <c r="J643" s="146"/>
      <c r="K643" s="146"/>
      <c r="L643" s="146"/>
      <c r="M643" s="146"/>
      <c r="N643" s="147"/>
      <c r="O643" s="3"/>
    </row>
    <row r="644" spans="1:15" ht="12.75">
      <c r="A644" s="3"/>
      <c r="C644" s="12" t="s">
        <v>296</v>
      </c>
      <c r="D644" s="142" t="s">
        <v>877</v>
      </c>
      <c r="E644" s="143"/>
      <c r="F644" s="143"/>
      <c r="G644" s="143"/>
      <c r="H644" s="143"/>
      <c r="I644" s="143"/>
      <c r="J644" s="143"/>
      <c r="K644" s="143"/>
      <c r="L644" s="143"/>
      <c r="M644" s="143"/>
      <c r="N644" s="144"/>
      <c r="O644" s="3"/>
    </row>
    <row r="645" spans="1:64" ht="12.75">
      <c r="A645" s="81" t="s">
        <v>141</v>
      </c>
      <c r="B645" s="81" t="s">
        <v>283</v>
      </c>
      <c r="C645" s="81" t="s">
        <v>431</v>
      </c>
      <c r="D645" s="139" t="s">
        <v>1021</v>
      </c>
      <c r="E645" s="134"/>
      <c r="F645" s="134"/>
      <c r="G645" s="140"/>
      <c r="H645" s="81" t="s">
        <v>1539</v>
      </c>
      <c r="I645" s="87">
        <v>29</v>
      </c>
      <c r="J645" s="87">
        <v>0</v>
      </c>
      <c r="K645" s="87">
        <f>I645*AO645</f>
        <v>0</v>
      </c>
      <c r="L645" s="87">
        <f>I645*AP645</f>
        <v>0</v>
      </c>
      <c r="M645" s="87">
        <f>I645*J645</f>
        <v>0</v>
      </c>
      <c r="N645" s="77" t="s">
        <v>1556</v>
      </c>
      <c r="O645" s="67"/>
      <c r="Z645" s="28">
        <f>IF(AQ645="5",BJ645,0)</f>
        <v>0</v>
      </c>
      <c r="AB645" s="28">
        <f>IF(AQ645="1",BH645,0)</f>
        <v>0</v>
      </c>
      <c r="AC645" s="28">
        <f>IF(AQ645="1",BI645,0)</f>
        <v>0</v>
      </c>
      <c r="AD645" s="28">
        <f>IF(AQ645="7",BH645,0)</f>
        <v>0</v>
      </c>
      <c r="AE645" s="28">
        <f>IF(AQ645="7",BI645,0)</f>
        <v>0</v>
      </c>
      <c r="AF645" s="28">
        <f>IF(AQ645="2",BH645,0)</f>
        <v>0</v>
      </c>
      <c r="AG645" s="28">
        <f>IF(AQ645="2",BI645,0)</f>
        <v>0</v>
      </c>
      <c r="AH645" s="28">
        <f>IF(AQ645="0",BJ645,0)</f>
        <v>0</v>
      </c>
      <c r="AI645" s="27" t="s">
        <v>283</v>
      </c>
      <c r="AJ645" s="18">
        <f>IF(AN645=0,M645,0)</f>
        <v>0</v>
      </c>
      <c r="AK645" s="18">
        <f>IF(AN645=15,M645,0)</f>
        <v>0</v>
      </c>
      <c r="AL645" s="18">
        <f>IF(AN645=21,M645,0)</f>
        <v>0</v>
      </c>
      <c r="AN645" s="28">
        <v>15</v>
      </c>
      <c r="AO645" s="28">
        <f>J645*0</f>
        <v>0</v>
      </c>
      <c r="AP645" s="28">
        <f>J645*(1-0)</f>
        <v>0</v>
      </c>
      <c r="AQ645" s="29" t="s">
        <v>13</v>
      </c>
      <c r="AV645" s="28">
        <f>AW645+AX645</f>
        <v>0</v>
      </c>
      <c r="AW645" s="28">
        <f>I645*AO645</f>
        <v>0</v>
      </c>
      <c r="AX645" s="28">
        <f>I645*AP645</f>
        <v>0</v>
      </c>
      <c r="AY645" s="31" t="s">
        <v>1593</v>
      </c>
      <c r="AZ645" s="31" t="s">
        <v>1622</v>
      </c>
      <c r="BA645" s="27" t="s">
        <v>1628</v>
      </c>
      <c r="BC645" s="28">
        <f>AW645+AX645</f>
        <v>0</v>
      </c>
      <c r="BD645" s="28">
        <f>J645/(100-BE645)*100</f>
        <v>0</v>
      </c>
      <c r="BE645" s="28">
        <v>0</v>
      </c>
      <c r="BF645" s="28">
        <f>645</f>
        <v>645</v>
      </c>
      <c r="BH645" s="18">
        <f>I645*AO645</f>
        <v>0</v>
      </c>
      <c r="BI645" s="18">
        <f>I645*AP645</f>
        <v>0</v>
      </c>
      <c r="BJ645" s="18">
        <f>I645*J645</f>
        <v>0</v>
      </c>
      <c r="BK645" s="18" t="s">
        <v>1634</v>
      </c>
      <c r="BL645" s="28">
        <v>764</v>
      </c>
    </row>
    <row r="646" spans="1:15" ht="12.75">
      <c r="A646" s="82"/>
      <c r="B646" s="83"/>
      <c r="C646" s="83"/>
      <c r="D646" s="85" t="s">
        <v>35</v>
      </c>
      <c r="G646" s="86" t="s">
        <v>1464</v>
      </c>
      <c r="H646" s="83"/>
      <c r="I646" s="88">
        <v>29</v>
      </c>
      <c r="J646" s="83"/>
      <c r="K646" s="83"/>
      <c r="L646" s="83"/>
      <c r="M646" s="83"/>
      <c r="N646" s="80"/>
      <c r="O646" s="67"/>
    </row>
    <row r="647" spans="1:15" ht="12.75">
      <c r="A647" s="3"/>
      <c r="C647" s="12" t="s">
        <v>296</v>
      </c>
      <c r="D647" s="142" t="s">
        <v>877</v>
      </c>
      <c r="E647" s="143"/>
      <c r="F647" s="143"/>
      <c r="G647" s="143"/>
      <c r="H647" s="143"/>
      <c r="I647" s="143"/>
      <c r="J647" s="143"/>
      <c r="K647" s="143"/>
      <c r="L647" s="143"/>
      <c r="M647" s="143"/>
      <c r="N647" s="144"/>
      <c r="O647" s="3"/>
    </row>
    <row r="648" spans="1:64" ht="12.75">
      <c r="A648" s="81" t="s">
        <v>142</v>
      </c>
      <c r="B648" s="81" t="s">
        <v>283</v>
      </c>
      <c r="C648" s="81" t="s">
        <v>432</v>
      </c>
      <c r="D648" s="139" t="s">
        <v>1022</v>
      </c>
      <c r="E648" s="134"/>
      <c r="F648" s="134"/>
      <c r="G648" s="140"/>
      <c r="H648" s="81" t="s">
        <v>1539</v>
      </c>
      <c r="I648" s="87">
        <v>51</v>
      </c>
      <c r="J648" s="87">
        <v>0</v>
      </c>
      <c r="K648" s="87">
        <f>I648*AO648</f>
        <v>0</v>
      </c>
      <c r="L648" s="87">
        <f>I648*AP648</f>
        <v>0</v>
      </c>
      <c r="M648" s="87">
        <f>I648*J648</f>
        <v>0</v>
      </c>
      <c r="N648" s="77" t="s">
        <v>1556</v>
      </c>
      <c r="O648" s="67"/>
      <c r="Z648" s="28">
        <f>IF(AQ648="5",BJ648,0)</f>
        <v>0</v>
      </c>
      <c r="AB648" s="28">
        <f>IF(AQ648="1",BH648,0)</f>
        <v>0</v>
      </c>
      <c r="AC648" s="28">
        <f>IF(AQ648="1",BI648,0)</f>
        <v>0</v>
      </c>
      <c r="AD648" s="28">
        <f>IF(AQ648="7",BH648,0)</f>
        <v>0</v>
      </c>
      <c r="AE648" s="28">
        <f>IF(AQ648="7",BI648,0)</f>
        <v>0</v>
      </c>
      <c r="AF648" s="28">
        <f>IF(AQ648="2",BH648,0)</f>
        <v>0</v>
      </c>
      <c r="AG648" s="28">
        <f>IF(AQ648="2",BI648,0)</f>
        <v>0</v>
      </c>
      <c r="AH648" s="28">
        <f>IF(AQ648="0",BJ648,0)</f>
        <v>0</v>
      </c>
      <c r="AI648" s="27" t="s">
        <v>283</v>
      </c>
      <c r="AJ648" s="18">
        <f>IF(AN648=0,M648,0)</f>
        <v>0</v>
      </c>
      <c r="AK648" s="18">
        <f>IF(AN648=15,M648,0)</f>
        <v>0</v>
      </c>
      <c r="AL648" s="18">
        <f>IF(AN648=21,M648,0)</f>
        <v>0</v>
      </c>
      <c r="AN648" s="28">
        <v>15</v>
      </c>
      <c r="AO648" s="28">
        <f>J648*0</f>
        <v>0</v>
      </c>
      <c r="AP648" s="28">
        <f>J648*(1-0)</f>
        <v>0</v>
      </c>
      <c r="AQ648" s="29" t="s">
        <v>13</v>
      </c>
      <c r="AV648" s="28">
        <f>AW648+AX648</f>
        <v>0</v>
      </c>
      <c r="AW648" s="28">
        <f>I648*AO648</f>
        <v>0</v>
      </c>
      <c r="AX648" s="28">
        <f>I648*AP648</f>
        <v>0</v>
      </c>
      <c r="AY648" s="31" t="s">
        <v>1593</v>
      </c>
      <c r="AZ648" s="31" t="s">
        <v>1622</v>
      </c>
      <c r="BA648" s="27" t="s">
        <v>1628</v>
      </c>
      <c r="BC648" s="28">
        <f>AW648+AX648</f>
        <v>0</v>
      </c>
      <c r="BD648" s="28">
        <f>J648/(100-BE648)*100</f>
        <v>0</v>
      </c>
      <c r="BE648" s="28">
        <v>0</v>
      </c>
      <c r="BF648" s="28">
        <f>648</f>
        <v>648</v>
      </c>
      <c r="BH648" s="18">
        <f>I648*AO648</f>
        <v>0</v>
      </c>
      <c r="BI648" s="18">
        <f>I648*AP648</f>
        <v>0</v>
      </c>
      <c r="BJ648" s="18">
        <f>I648*J648</f>
        <v>0</v>
      </c>
      <c r="BK648" s="18" t="s">
        <v>1634</v>
      </c>
      <c r="BL648" s="28">
        <v>764</v>
      </c>
    </row>
    <row r="649" spans="1:15" ht="12.75">
      <c r="A649" s="89"/>
      <c r="B649" s="90"/>
      <c r="C649" s="90"/>
      <c r="D649" s="84" t="s">
        <v>1023</v>
      </c>
      <c r="G649" s="91" t="s">
        <v>1466</v>
      </c>
      <c r="H649" s="90"/>
      <c r="I649" s="92">
        <v>38.6</v>
      </c>
      <c r="J649" s="90"/>
      <c r="K649" s="90"/>
      <c r="L649" s="90"/>
      <c r="M649" s="90"/>
      <c r="N649" s="79"/>
      <c r="O649" s="67"/>
    </row>
    <row r="650" spans="1:15" ht="12.75">
      <c r="A650" s="82"/>
      <c r="B650" s="83"/>
      <c r="C650" s="83"/>
      <c r="D650" s="85" t="s">
        <v>1004</v>
      </c>
      <c r="G650" s="86" t="s">
        <v>1461</v>
      </c>
      <c r="H650" s="83"/>
      <c r="I650" s="88">
        <v>12.4</v>
      </c>
      <c r="J650" s="83"/>
      <c r="K650" s="83"/>
      <c r="L650" s="83"/>
      <c r="M650" s="83"/>
      <c r="N650" s="80"/>
      <c r="O650" s="67"/>
    </row>
    <row r="651" spans="1:15" ht="12.75">
      <c r="A651" s="3"/>
      <c r="C651" s="12" t="s">
        <v>296</v>
      </c>
      <c r="D651" s="142" t="s">
        <v>877</v>
      </c>
      <c r="E651" s="143"/>
      <c r="F651" s="143"/>
      <c r="G651" s="143"/>
      <c r="H651" s="143"/>
      <c r="I651" s="143"/>
      <c r="J651" s="143"/>
      <c r="K651" s="143"/>
      <c r="L651" s="143"/>
      <c r="M651" s="143"/>
      <c r="N651" s="144"/>
      <c r="O651" s="3"/>
    </row>
    <row r="652" spans="1:64" ht="12.75">
      <c r="A652" s="81" t="s">
        <v>143</v>
      </c>
      <c r="B652" s="81" t="s">
        <v>283</v>
      </c>
      <c r="C652" s="81" t="s">
        <v>433</v>
      </c>
      <c r="D652" s="139" t="s">
        <v>1024</v>
      </c>
      <c r="E652" s="134"/>
      <c r="F652" s="134"/>
      <c r="G652" s="140"/>
      <c r="H652" s="81" t="s">
        <v>1539</v>
      </c>
      <c r="I652" s="87">
        <v>21.3</v>
      </c>
      <c r="J652" s="87">
        <v>0</v>
      </c>
      <c r="K652" s="87">
        <f>I652*AO652</f>
        <v>0</v>
      </c>
      <c r="L652" s="87">
        <f>I652*AP652</f>
        <v>0</v>
      </c>
      <c r="M652" s="87">
        <f>I652*J652</f>
        <v>0</v>
      </c>
      <c r="N652" s="77" t="s">
        <v>1556</v>
      </c>
      <c r="O652" s="67"/>
      <c r="Z652" s="28">
        <f>IF(AQ652="5",BJ652,0)</f>
        <v>0</v>
      </c>
      <c r="AB652" s="28">
        <f>IF(AQ652="1",BH652,0)</f>
        <v>0</v>
      </c>
      <c r="AC652" s="28">
        <f>IF(AQ652="1",BI652,0)</f>
        <v>0</v>
      </c>
      <c r="AD652" s="28">
        <f>IF(AQ652="7",BH652,0)</f>
        <v>0</v>
      </c>
      <c r="AE652" s="28">
        <f>IF(AQ652="7",BI652,0)</f>
        <v>0</v>
      </c>
      <c r="AF652" s="28">
        <f>IF(AQ652="2",BH652,0)</f>
        <v>0</v>
      </c>
      <c r="AG652" s="28">
        <f>IF(AQ652="2",BI652,0)</f>
        <v>0</v>
      </c>
      <c r="AH652" s="28">
        <f>IF(AQ652="0",BJ652,0)</f>
        <v>0</v>
      </c>
      <c r="AI652" s="27" t="s">
        <v>283</v>
      </c>
      <c r="AJ652" s="18">
        <f>IF(AN652=0,M652,0)</f>
        <v>0</v>
      </c>
      <c r="AK652" s="18">
        <f>IF(AN652=15,M652,0)</f>
        <v>0</v>
      </c>
      <c r="AL652" s="18">
        <f>IF(AN652=21,M652,0)</f>
        <v>0</v>
      </c>
      <c r="AN652" s="28">
        <v>15</v>
      </c>
      <c r="AO652" s="28">
        <f>J652*0</f>
        <v>0</v>
      </c>
      <c r="AP652" s="28">
        <f>J652*(1-0)</f>
        <v>0</v>
      </c>
      <c r="AQ652" s="29" t="s">
        <v>13</v>
      </c>
      <c r="AV652" s="28">
        <f>AW652+AX652</f>
        <v>0</v>
      </c>
      <c r="AW652" s="28">
        <f>I652*AO652</f>
        <v>0</v>
      </c>
      <c r="AX652" s="28">
        <f>I652*AP652</f>
        <v>0</v>
      </c>
      <c r="AY652" s="31" t="s">
        <v>1593</v>
      </c>
      <c r="AZ652" s="31" t="s">
        <v>1622</v>
      </c>
      <c r="BA652" s="27" t="s">
        <v>1628</v>
      </c>
      <c r="BC652" s="28">
        <f>AW652+AX652</f>
        <v>0</v>
      </c>
      <c r="BD652" s="28">
        <f>J652/(100-BE652)*100</f>
        <v>0</v>
      </c>
      <c r="BE652" s="28">
        <v>0</v>
      </c>
      <c r="BF652" s="28">
        <f>652</f>
        <v>652</v>
      </c>
      <c r="BH652" s="18">
        <f>I652*AO652</f>
        <v>0</v>
      </c>
      <c r="BI652" s="18">
        <f>I652*AP652</f>
        <v>0</v>
      </c>
      <c r="BJ652" s="18">
        <f>I652*J652</f>
        <v>0</v>
      </c>
      <c r="BK652" s="18" t="s">
        <v>1634</v>
      </c>
      <c r="BL652" s="28">
        <v>764</v>
      </c>
    </row>
    <row r="653" spans="1:15" ht="12.75">
      <c r="A653" s="82"/>
      <c r="B653" s="83"/>
      <c r="C653" s="83"/>
      <c r="D653" s="85" t="s">
        <v>1025</v>
      </c>
      <c r="G653" s="86" t="s">
        <v>1467</v>
      </c>
      <c r="H653" s="83"/>
      <c r="I653" s="88">
        <v>21.3</v>
      </c>
      <c r="J653" s="83"/>
      <c r="K653" s="83"/>
      <c r="L653" s="83"/>
      <c r="M653" s="83"/>
      <c r="N653" s="80"/>
      <c r="O653" s="67"/>
    </row>
    <row r="654" spans="1:15" ht="12.75">
      <c r="A654" s="3"/>
      <c r="C654" s="12" t="s">
        <v>296</v>
      </c>
      <c r="D654" s="142" t="s">
        <v>877</v>
      </c>
      <c r="E654" s="143"/>
      <c r="F654" s="143"/>
      <c r="G654" s="143"/>
      <c r="H654" s="143"/>
      <c r="I654" s="143"/>
      <c r="J654" s="143"/>
      <c r="K654" s="143"/>
      <c r="L654" s="143"/>
      <c r="M654" s="143"/>
      <c r="N654" s="144"/>
      <c r="O654" s="3"/>
    </row>
    <row r="655" spans="1:64" ht="12.75">
      <c r="A655" s="81" t="s">
        <v>144</v>
      </c>
      <c r="B655" s="81" t="s">
        <v>283</v>
      </c>
      <c r="C655" s="81" t="s">
        <v>434</v>
      </c>
      <c r="D655" s="139" t="s">
        <v>1026</v>
      </c>
      <c r="E655" s="134"/>
      <c r="F655" s="134"/>
      <c r="G655" s="140"/>
      <c r="H655" s="81" t="s">
        <v>1540</v>
      </c>
      <c r="I655" s="87">
        <v>2055.19</v>
      </c>
      <c r="J655" s="87">
        <v>0</v>
      </c>
      <c r="K655" s="87">
        <f>I655*AO655</f>
        <v>0</v>
      </c>
      <c r="L655" s="87">
        <f>I655*AP655</f>
        <v>0</v>
      </c>
      <c r="M655" s="87">
        <f>I655*J655</f>
        <v>0</v>
      </c>
      <c r="N655" s="77" t="s">
        <v>1556</v>
      </c>
      <c r="O655" s="67"/>
      <c r="Z655" s="28">
        <f>IF(AQ655="5",BJ655,0)</f>
        <v>0</v>
      </c>
      <c r="AB655" s="28">
        <f>IF(AQ655="1",BH655,0)</f>
        <v>0</v>
      </c>
      <c r="AC655" s="28">
        <f>IF(AQ655="1",BI655,0)</f>
        <v>0</v>
      </c>
      <c r="AD655" s="28">
        <f>IF(AQ655="7",BH655,0)</f>
        <v>0</v>
      </c>
      <c r="AE655" s="28">
        <f>IF(AQ655="7",BI655,0)</f>
        <v>0</v>
      </c>
      <c r="AF655" s="28">
        <f>IF(AQ655="2",BH655,0)</f>
        <v>0</v>
      </c>
      <c r="AG655" s="28">
        <f>IF(AQ655="2",BI655,0)</f>
        <v>0</v>
      </c>
      <c r="AH655" s="28">
        <f>IF(AQ655="0",BJ655,0)</f>
        <v>0</v>
      </c>
      <c r="AI655" s="27" t="s">
        <v>283</v>
      </c>
      <c r="AJ655" s="18">
        <f>IF(AN655=0,M655,0)</f>
        <v>0</v>
      </c>
      <c r="AK655" s="18">
        <f>IF(AN655=15,M655,0)</f>
        <v>0</v>
      </c>
      <c r="AL655" s="18">
        <f>IF(AN655=21,M655,0)</f>
        <v>0</v>
      </c>
      <c r="AN655" s="28">
        <v>15</v>
      </c>
      <c r="AO655" s="28">
        <f>J655*0</f>
        <v>0</v>
      </c>
      <c r="AP655" s="28">
        <f>J655*(1-0)</f>
        <v>0</v>
      </c>
      <c r="AQ655" s="29" t="s">
        <v>11</v>
      </c>
      <c r="AV655" s="28">
        <f>AW655+AX655</f>
        <v>0</v>
      </c>
      <c r="AW655" s="28">
        <f>I655*AO655</f>
        <v>0</v>
      </c>
      <c r="AX655" s="28">
        <f>I655*AP655</f>
        <v>0</v>
      </c>
      <c r="AY655" s="31" t="s">
        <v>1593</v>
      </c>
      <c r="AZ655" s="31" t="s">
        <v>1622</v>
      </c>
      <c r="BA655" s="27" t="s">
        <v>1628</v>
      </c>
      <c r="BC655" s="28">
        <f>AW655+AX655</f>
        <v>0</v>
      </c>
      <c r="BD655" s="28">
        <f>J655/(100-BE655)*100</f>
        <v>0</v>
      </c>
      <c r="BE655" s="28">
        <v>0</v>
      </c>
      <c r="BF655" s="28">
        <f>655</f>
        <v>655</v>
      </c>
      <c r="BH655" s="18">
        <f>I655*AO655</f>
        <v>0</v>
      </c>
      <c r="BI655" s="18">
        <f>I655*AP655</f>
        <v>0</v>
      </c>
      <c r="BJ655" s="18">
        <f>I655*J655</f>
        <v>0</v>
      </c>
      <c r="BK655" s="18" t="s">
        <v>1634</v>
      </c>
      <c r="BL655" s="28">
        <v>764</v>
      </c>
    </row>
    <row r="656" spans="1:15" ht="12.75">
      <c r="A656" s="89"/>
      <c r="B656" s="90"/>
      <c r="C656" s="90"/>
      <c r="D656" s="84" t="s">
        <v>1027</v>
      </c>
      <c r="G656" s="91"/>
      <c r="H656" s="90"/>
      <c r="I656" s="92">
        <v>2055.19</v>
      </c>
      <c r="J656" s="90"/>
      <c r="K656" s="90"/>
      <c r="L656" s="90"/>
      <c r="M656" s="90"/>
      <c r="N656" s="79"/>
      <c r="O656" s="67"/>
    </row>
    <row r="657" spans="1:47" ht="12.75">
      <c r="A657" s="72"/>
      <c r="B657" s="73" t="s">
        <v>283</v>
      </c>
      <c r="C657" s="73" t="s">
        <v>435</v>
      </c>
      <c r="D657" s="130" t="s">
        <v>1028</v>
      </c>
      <c r="E657" s="131"/>
      <c r="F657" s="131"/>
      <c r="G657" s="132"/>
      <c r="H657" s="72" t="s">
        <v>6</v>
      </c>
      <c r="I657" s="72" t="s">
        <v>6</v>
      </c>
      <c r="J657" s="72" t="s">
        <v>6</v>
      </c>
      <c r="K657" s="76">
        <f>SUM(K658:K705)</f>
        <v>0</v>
      </c>
      <c r="L657" s="76">
        <f>SUM(L658:L705)</f>
        <v>0</v>
      </c>
      <c r="M657" s="76">
        <f>SUM(M658:M705)</f>
        <v>0</v>
      </c>
      <c r="N657" s="71"/>
      <c r="O657" s="67"/>
      <c r="AI657" s="27" t="s">
        <v>283</v>
      </c>
      <c r="AS657" s="33">
        <f>SUM(AJ658:AJ705)</f>
        <v>0</v>
      </c>
      <c r="AT657" s="33">
        <f>SUM(AK658:AK705)</f>
        <v>0</v>
      </c>
      <c r="AU657" s="33">
        <f>SUM(AL658:AL705)</f>
        <v>0</v>
      </c>
    </row>
    <row r="658" spans="1:64" ht="12.75">
      <c r="A658" s="81" t="s">
        <v>145</v>
      </c>
      <c r="B658" s="81" t="s">
        <v>283</v>
      </c>
      <c r="C658" s="81" t="s">
        <v>436</v>
      </c>
      <c r="D658" s="139" t="s">
        <v>1029</v>
      </c>
      <c r="E658" s="134"/>
      <c r="F658" s="134"/>
      <c r="G658" s="140"/>
      <c r="H658" s="81" t="s">
        <v>1535</v>
      </c>
      <c r="I658" s="87">
        <v>731.36</v>
      </c>
      <c r="J658" s="87">
        <v>0</v>
      </c>
      <c r="K658" s="87">
        <f>I658*AO658</f>
        <v>0</v>
      </c>
      <c r="L658" s="87">
        <f>I658*AP658</f>
        <v>0</v>
      </c>
      <c r="M658" s="87">
        <f>I658*J658</f>
        <v>0</v>
      </c>
      <c r="N658" s="77" t="s">
        <v>1556</v>
      </c>
      <c r="O658" s="67"/>
      <c r="Z658" s="28">
        <f>IF(AQ658="5",BJ658,0)</f>
        <v>0</v>
      </c>
      <c r="AB658" s="28">
        <f>IF(AQ658="1",BH658,0)</f>
        <v>0</v>
      </c>
      <c r="AC658" s="28">
        <f>IF(AQ658="1",BI658,0)</f>
        <v>0</v>
      </c>
      <c r="AD658" s="28">
        <f>IF(AQ658="7",BH658,0)</f>
        <v>0</v>
      </c>
      <c r="AE658" s="28">
        <f>IF(AQ658="7",BI658,0)</f>
        <v>0</v>
      </c>
      <c r="AF658" s="28">
        <f>IF(AQ658="2",BH658,0)</f>
        <v>0</v>
      </c>
      <c r="AG658" s="28">
        <f>IF(AQ658="2",BI658,0)</f>
        <v>0</v>
      </c>
      <c r="AH658" s="28">
        <f>IF(AQ658="0",BJ658,0)</f>
        <v>0</v>
      </c>
      <c r="AI658" s="27" t="s">
        <v>283</v>
      </c>
      <c r="AJ658" s="18">
        <f>IF(AN658=0,M658,0)</f>
        <v>0</v>
      </c>
      <c r="AK658" s="18">
        <f>IF(AN658=15,M658,0)</f>
        <v>0</v>
      </c>
      <c r="AL658" s="18">
        <f>IF(AN658=21,M658,0)</f>
        <v>0</v>
      </c>
      <c r="AN658" s="28">
        <v>15</v>
      </c>
      <c r="AO658" s="28">
        <f>J658*0</f>
        <v>0</v>
      </c>
      <c r="AP658" s="28">
        <f>J658*(1-0)</f>
        <v>0</v>
      </c>
      <c r="AQ658" s="29" t="s">
        <v>13</v>
      </c>
      <c r="AV658" s="28">
        <f>AW658+AX658</f>
        <v>0</v>
      </c>
      <c r="AW658" s="28">
        <f>I658*AO658</f>
        <v>0</v>
      </c>
      <c r="AX658" s="28">
        <f>I658*AP658</f>
        <v>0</v>
      </c>
      <c r="AY658" s="31" t="s">
        <v>1594</v>
      </c>
      <c r="AZ658" s="31" t="s">
        <v>1622</v>
      </c>
      <c r="BA658" s="27" t="s">
        <v>1628</v>
      </c>
      <c r="BC658" s="28">
        <f>AW658+AX658</f>
        <v>0</v>
      </c>
      <c r="BD658" s="28">
        <f>J658/(100-BE658)*100</f>
        <v>0</v>
      </c>
      <c r="BE658" s="28">
        <v>0</v>
      </c>
      <c r="BF658" s="28">
        <f>658</f>
        <v>658</v>
      </c>
      <c r="BH658" s="18">
        <f>I658*AO658</f>
        <v>0</v>
      </c>
      <c r="BI658" s="18">
        <f>I658*AP658</f>
        <v>0</v>
      </c>
      <c r="BJ658" s="18">
        <f>I658*J658</f>
        <v>0</v>
      </c>
      <c r="BK658" s="18" t="s">
        <v>1634</v>
      </c>
      <c r="BL658" s="28">
        <v>765</v>
      </c>
    </row>
    <row r="659" spans="1:15" ht="12.75">
      <c r="A659" s="89"/>
      <c r="B659" s="90"/>
      <c r="C659" s="90"/>
      <c r="D659" s="84" t="s">
        <v>1030</v>
      </c>
      <c r="G659" s="91" t="s">
        <v>1468</v>
      </c>
      <c r="H659" s="90"/>
      <c r="I659" s="92">
        <v>346.19</v>
      </c>
      <c r="J659" s="90"/>
      <c r="K659" s="90"/>
      <c r="L659" s="90"/>
      <c r="M659" s="90"/>
      <c r="N659" s="79"/>
      <c r="O659" s="67"/>
    </row>
    <row r="660" spans="1:15" ht="12.75">
      <c r="A660" s="89"/>
      <c r="B660" s="90"/>
      <c r="C660" s="90"/>
      <c r="D660" s="84" t="s">
        <v>1031</v>
      </c>
      <c r="G660" s="91" t="s">
        <v>1469</v>
      </c>
      <c r="H660" s="90"/>
      <c r="I660" s="92">
        <v>195.75</v>
      </c>
      <c r="J660" s="90"/>
      <c r="K660" s="90"/>
      <c r="L660" s="90"/>
      <c r="M660" s="90"/>
      <c r="N660" s="79"/>
      <c r="O660" s="67"/>
    </row>
    <row r="661" spans="1:15" ht="12.75">
      <c r="A661" s="82"/>
      <c r="B661" s="83"/>
      <c r="C661" s="83"/>
      <c r="D661" s="85" t="s">
        <v>1032</v>
      </c>
      <c r="G661" s="86" t="s">
        <v>1470</v>
      </c>
      <c r="H661" s="83"/>
      <c r="I661" s="88">
        <v>189.42</v>
      </c>
      <c r="J661" s="83"/>
      <c r="K661" s="83"/>
      <c r="L661" s="83"/>
      <c r="M661" s="83"/>
      <c r="N661" s="80"/>
      <c r="O661" s="67"/>
    </row>
    <row r="662" spans="1:15" ht="12.75">
      <c r="A662" s="3"/>
      <c r="C662" s="12" t="s">
        <v>296</v>
      </c>
      <c r="D662" s="142" t="s">
        <v>877</v>
      </c>
      <c r="E662" s="143"/>
      <c r="F662" s="143"/>
      <c r="G662" s="143"/>
      <c r="H662" s="143"/>
      <c r="I662" s="143"/>
      <c r="J662" s="143"/>
      <c r="K662" s="143"/>
      <c r="L662" s="143"/>
      <c r="M662" s="143"/>
      <c r="N662" s="144"/>
      <c r="O662" s="3"/>
    </row>
    <row r="663" spans="1:64" ht="12.75">
      <c r="A663" s="81" t="s">
        <v>146</v>
      </c>
      <c r="B663" s="81" t="s">
        <v>283</v>
      </c>
      <c r="C663" s="81" t="s">
        <v>437</v>
      </c>
      <c r="D663" s="139" t="s">
        <v>1033</v>
      </c>
      <c r="E663" s="134"/>
      <c r="F663" s="134"/>
      <c r="G663" s="140"/>
      <c r="H663" s="81" t="s">
        <v>1535</v>
      </c>
      <c r="I663" s="87">
        <v>731.36</v>
      </c>
      <c r="J663" s="87">
        <v>0</v>
      </c>
      <c r="K663" s="87">
        <f>I663*AO663</f>
        <v>0</v>
      </c>
      <c r="L663" s="87">
        <f>I663*AP663</f>
        <v>0</v>
      </c>
      <c r="M663" s="87">
        <f>I663*J663</f>
        <v>0</v>
      </c>
      <c r="N663" s="77" t="s">
        <v>1556</v>
      </c>
      <c r="O663" s="67"/>
      <c r="Z663" s="28">
        <f>IF(AQ663="5",BJ663,0)</f>
        <v>0</v>
      </c>
      <c r="AB663" s="28">
        <f>IF(AQ663="1",BH663,0)</f>
        <v>0</v>
      </c>
      <c r="AC663" s="28">
        <f>IF(AQ663="1",BI663,0)</f>
        <v>0</v>
      </c>
      <c r="AD663" s="28">
        <f>IF(AQ663="7",BH663,0)</f>
        <v>0</v>
      </c>
      <c r="AE663" s="28">
        <f>IF(AQ663="7",BI663,0)</f>
        <v>0</v>
      </c>
      <c r="AF663" s="28">
        <f>IF(AQ663="2",BH663,0)</f>
        <v>0</v>
      </c>
      <c r="AG663" s="28">
        <f>IF(AQ663="2",BI663,0)</f>
        <v>0</v>
      </c>
      <c r="AH663" s="28">
        <f>IF(AQ663="0",BJ663,0)</f>
        <v>0</v>
      </c>
      <c r="AI663" s="27" t="s">
        <v>283</v>
      </c>
      <c r="AJ663" s="18">
        <f>IF(AN663=0,M663,0)</f>
        <v>0</v>
      </c>
      <c r="AK663" s="18">
        <f>IF(AN663=15,M663,0)</f>
        <v>0</v>
      </c>
      <c r="AL663" s="18">
        <f>IF(AN663=21,M663,0)</f>
        <v>0</v>
      </c>
      <c r="AN663" s="28">
        <v>15</v>
      </c>
      <c r="AO663" s="28">
        <f>J663*0</f>
        <v>0</v>
      </c>
      <c r="AP663" s="28">
        <f>J663*(1-0)</f>
        <v>0</v>
      </c>
      <c r="AQ663" s="29" t="s">
        <v>13</v>
      </c>
      <c r="AV663" s="28">
        <f>AW663+AX663</f>
        <v>0</v>
      </c>
      <c r="AW663" s="28">
        <f>I663*AO663</f>
        <v>0</v>
      </c>
      <c r="AX663" s="28">
        <f>I663*AP663</f>
        <v>0</v>
      </c>
      <c r="AY663" s="31" t="s">
        <v>1594</v>
      </c>
      <c r="AZ663" s="31" t="s">
        <v>1622</v>
      </c>
      <c r="BA663" s="27" t="s">
        <v>1628</v>
      </c>
      <c r="BC663" s="28">
        <f>AW663+AX663</f>
        <v>0</v>
      </c>
      <c r="BD663" s="28">
        <f>J663/(100-BE663)*100</f>
        <v>0</v>
      </c>
      <c r="BE663" s="28">
        <v>0</v>
      </c>
      <c r="BF663" s="28">
        <f>663</f>
        <v>663</v>
      </c>
      <c r="BH663" s="18">
        <f>I663*AO663</f>
        <v>0</v>
      </c>
      <c r="BI663" s="18">
        <f>I663*AP663</f>
        <v>0</v>
      </c>
      <c r="BJ663" s="18">
        <f>I663*J663</f>
        <v>0</v>
      </c>
      <c r="BK663" s="18" t="s">
        <v>1634</v>
      </c>
      <c r="BL663" s="28">
        <v>765</v>
      </c>
    </row>
    <row r="664" spans="1:15" ht="12.75">
      <c r="A664" s="82"/>
      <c r="B664" s="83"/>
      <c r="C664" s="83"/>
      <c r="D664" s="85" t="s">
        <v>920</v>
      </c>
      <c r="G664" s="86" t="s">
        <v>1422</v>
      </c>
      <c r="H664" s="83"/>
      <c r="I664" s="88">
        <v>731.36</v>
      </c>
      <c r="J664" s="83"/>
      <c r="K664" s="83"/>
      <c r="L664" s="83"/>
      <c r="M664" s="83"/>
      <c r="N664" s="80"/>
      <c r="O664" s="67"/>
    </row>
    <row r="665" spans="1:15" ht="12.75">
      <c r="A665" s="3"/>
      <c r="C665" s="13" t="s">
        <v>302</v>
      </c>
      <c r="D665" s="145" t="s">
        <v>1034</v>
      </c>
      <c r="E665" s="146"/>
      <c r="F665" s="146"/>
      <c r="G665" s="146"/>
      <c r="H665" s="146"/>
      <c r="I665" s="146"/>
      <c r="J665" s="146"/>
      <c r="K665" s="146"/>
      <c r="L665" s="146"/>
      <c r="M665" s="146"/>
      <c r="N665" s="147"/>
      <c r="O665" s="3"/>
    </row>
    <row r="666" spans="1:15" ht="12.75">
      <c r="A666" s="3"/>
      <c r="C666" s="12" t="s">
        <v>296</v>
      </c>
      <c r="D666" s="142" t="s">
        <v>877</v>
      </c>
      <c r="E666" s="143"/>
      <c r="F666" s="143"/>
      <c r="G666" s="143"/>
      <c r="H666" s="143"/>
      <c r="I666" s="143"/>
      <c r="J666" s="143"/>
      <c r="K666" s="143"/>
      <c r="L666" s="143"/>
      <c r="M666" s="143"/>
      <c r="N666" s="144"/>
      <c r="O666" s="3"/>
    </row>
    <row r="667" spans="1:64" ht="12.75">
      <c r="A667" s="74" t="s">
        <v>147</v>
      </c>
      <c r="B667" s="74" t="s">
        <v>283</v>
      </c>
      <c r="C667" s="74" t="s">
        <v>438</v>
      </c>
      <c r="D667" s="133" t="s">
        <v>1035</v>
      </c>
      <c r="E667" s="134"/>
      <c r="F667" s="134"/>
      <c r="G667" s="135"/>
      <c r="H667" s="74" t="s">
        <v>1535</v>
      </c>
      <c r="I667" s="75">
        <v>804.496</v>
      </c>
      <c r="J667" s="75">
        <v>0</v>
      </c>
      <c r="K667" s="75">
        <f>I667*AO667</f>
        <v>0</v>
      </c>
      <c r="L667" s="75">
        <f>I667*AP667</f>
        <v>0</v>
      </c>
      <c r="M667" s="75">
        <f>I667*J667</f>
        <v>0</v>
      </c>
      <c r="N667" s="78" t="s">
        <v>1556</v>
      </c>
      <c r="O667" s="67"/>
      <c r="Z667" s="28">
        <f>IF(AQ667="5",BJ667,0)</f>
        <v>0</v>
      </c>
      <c r="AB667" s="28">
        <f>IF(AQ667="1",BH667,0)</f>
        <v>0</v>
      </c>
      <c r="AC667" s="28">
        <f>IF(AQ667="1",BI667,0)</f>
        <v>0</v>
      </c>
      <c r="AD667" s="28">
        <f>IF(AQ667="7",BH667,0)</f>
        <v>0</v>
      </c>
      <c r="AE667" s="28">
        <f>IF(AQ667="7",BI667,0)</f>
        <v>0</v>
      </c>
      <c r="AF667" s="28">
        <f>IF(AQ667="2",BH667,0)</f>
        <v>0</v>
      </c>
      <c r="AG667" s="28">
        <f>IF(AQ667="2",BI667,0)</f>
        <v>0</v>
      </c>
      <c r="AH667" s="28">
        <f>IF(AQ667="0",BJ667,0)</f>
        <v>0</v>
      </c>
      <c r="AI667" s="27" t="s">
        <v>283</v>
      </c>
      <c r="AJ667" s="18">
        <f>IF(AN667=0,M667,0)</f>
        <v>0</v>
      </c>
      <c r="AK667" s="18">
        <f>IF(AN667=15,M667,0)</f>
        <v>0</v>
      </c>
      <c r="AL667" s="18">
        <f>IF(AN667=21,M667,0)</f>
        <v>0</v>
      </c>
      <c r="AN667" s="28">
        <v>15</v>
      </c>
      <c r="AO667" s="28">
        <f>J667*0.435617521251334</f>
        <v>0</v>
      </c>
      <c r="AP667" s="28">
        <f>J667*(1-0.435617521251334)</f>
        <v>0</v>
      </c>
      <c r="AQ667" s="29" t="s">
        <v>13</v>
      </c>
      <c r="AV667" s="28">
        <f>AW667+AX667</f>
        <v>0</v>
      </c>
      <c r="AW667" s="28">
        <f>I667*AO667</f>
        <v>0</v>
      </c>
      <c r="AX667" s="28">
        <f>I667*AP667</f>
        <v>0</v>
      </c>
      <c r="AY667" s="31" t="s">
        <v>1594</v>
      </c>
      <c r="AZ667" s="31" t="s">
        <v>1622</v>
      </c>
      <c r="BA667" s="27" t="s">
        <v>1628</v>
      </c>
      <c r="BC667" s="28">
        <f>AW667+AX667</f>
        <v>0</v>
      </c>
      <c r="BD667" s="28">
        <f>J667/(100-BE667)*100</f>
        <v>0</v>
      </c>
      <c r="BE667" s="28">
        <v>0</v>
      </c>
      <c r="BF667" s="28">
        <f>667</f>
        <v>667</v>
      </c>
      <c r="BH667" s="18">
        <f>I667*AO667</f>
        <v>0</v>
      </c>
      <c r="BI667" s="18">
        <f>I667*AP667</f>
        <v>0</v>
      </c>
      <c r="BJ667" s="18">
        <f>I667*J667</f>
        <v>0</v>
      </c>
      <c r="BK667" s="18" t="s">
        <v>1634</v>
      </c>
      <c r="BL667" s="28">
        <v>765</v>
      </c>
    </row>
    <row r="668" spans="1:15" ht="63.75" customHeight="1">
      <c r="A668" s="3"/>
      <c r="D668" s="136" t="s">
        <v>1036</v>
      </c>
      <c r="E668" s="137"/>
      <c r="F668" s="137"/>
      <c r="G668" s="137"/>
      <c r="H668" s="137"/>
      <c r="I668" s="137"/>
      <c r="J668" s="137"/>
      <c r="K668" s="137"/>
      <c r="L668" s="137"/>
      <c r="M668" s="137"/>
      <c r="N668" s="138"/>
      <c r="O668" s="3"/>
    </row>
    <row r="669" spans="1:15" ht="12.75">
      <c r="A669" s="82"/>
      <c r="B669" s="83"/>
      <c r="C669" s="83"/>
      <c r="D669" s="85" t="s">
        <v>1037</v>
      </c>
      <c r="G669" s="86" t="s">
        <v>1422</v>
      </c>
      <c r="H669" s="83"/>
      <c r="I669" s="88">
        <v>804.496</v>
      </c>
      <c r="J669" s="83"/>
      <c r="K669" s="83"/>
      <c r="L669" s="83"/>
      <c r="M669" s="83"/>
      <c r="N669" s="80"/>
      <c r="O669" s="67"/>
    </row>
    <row r="670" spans="1:15" ht="12.75">
      <c r="A670" s="3"/>
      <c r="C670" s="13" t="s">
        <v>302</v>
      </c>
      <c r="D670" s="145" t="s">
        <v>1038</v>
      </c>
      <c r="E670" s="146"/>
      <c r="F670" s="146"/>
      <c r="G670" s="146"/>
      <c r="H670" s="146"/>
      <c r="I670" s="146"/>
      <c r="J670" s="146"/>
      <c r="K670" s="146"/>
      <c r="L670" s="146"/>
      <c r="M670" s="146"/>
      <c r="N670" s="147"/>
      <c r="O670" s="3"/>
    </row>
    <row r="671" spans="1:15" ht="12.75">
      <c r="A671" s="3"/>
      <c r="C671" s="12" t="s">
        <v>296</v>
      </c>
      <c r="D671" s="142" t="s">
        <v>622</v>
      </c>
      <c r="E671" s="143"/>
      <c r="F671" s="143"/>
      <c r="G671" s="143"/>
      <c r="H671" s="143"/>
      <c r="I671" s="143"/>
      <c r="J671" s="143"/>
      <c r="K671" s="143"/>
      <c r="L671" s="143"/>
      <c r="M671" s="143"/>
      <c r="N671" s="144"/>
      <c r="O671" s="3"/>
    </row>
    <row r="672" spans="1:64" ht="12.75">
      <c r="A672" s="81" t="s">
        <v>148</v>
      </c>
      <c r="B672" s="81" t="s">
        <v>283</v>
      </c>
      <c r="C672" s="81" t="s">
        <v>439</v>
      </c>
      <c r="D672" s="139" t="s">
        <v>1039</v>
      </c>
      <c r="E672" s="134"/>
      <c r="F672" s="134"/>
      <c r="G672" s="140"/>
      <c r="H672" s="81" t="s">
        <v>1535</v>
      </c>
      <c r="I672" s="87">
        <v>511.952</v>
      </c>
      <c r="J672" s="87">
        <v>0</v>
      </c>
      <c r="K672" s="87">
        <f>I672*AO672</f>
        <v>0</v>
      </c>
      <c r="L672" s="87">
        <f>I672*AP672</f>
        <v>0</v>
      </c>
      <c r="M672" s="87">
        <f>I672*J672</f>
        <v>0</v>
      </c>
      <c r="N672" s="77" t="s">
        <v>1556</v>
      </c>
      <c r="O672" s="67"/>
      <c r="Z672" s="28">
        <f>IF(AQ672="5",BJ672,0)</f>
        <v>0</v>
      </c>
      <c r="AB672" s="28">
        <f>IF(AQ672="1",BH672,0)</f>
        <v>0</v>
      </c>
      <c r="AC672" s="28">
        <f>IF(AQ672="1",BI672,0)</f>
        <v>0</v>
      </c>
      <c r="AD672" s="28">
        <f>IF(AQ672="7",BH672,0)</f>
        <v>0</v>
      </c>
      <c r="AE672" s="28">
        <f>IF(AQ672="7",BI672,0)</f>
        <v>0</v>
      </c>
      <c r="AF672" s="28">
        <f>IF(AQ672="2",BH672,0)</f>
        <v>0</v>
      </c>
      <c r="AG672" s="28">
        <f>IF(AQ672="2",BI672,0)</f>
        <v>0</v>
      </c>
      <c r="AH672" s="28">
        <f>IF(AQ672="0",BJ672,0)</f>
        <v>0</v>
      </c>
      <c r="AI672" s="27" t="s">
        <v>283</v>
      </c>
      <c r="AJ672" s="18">
        <f>IF(AN672=0,M672,0)</f>
        <v>0</v>
      </c>
      <c r="AK672" s="18">
        <f>IF(AN672=15,M672,0)</f>
        <v>0</v>
      </c>
      <c r="AL672" s="18">
        <f>IF(AN672=21,M672,0)</f>
        <v>0</v>
      </c>
      <c r="AN672" s="28">
        <v>15</v>
      </c>
      <c r="AO672" s="28">
        <f>J672*0</f>
        <v>0</v>
      </c>
      <c r="AP672" s="28">
        <f>J672*(1-0)</f>
        <v>0</v>
      </c>
      <c r="AQ672" s="29" t="s">
        <v>13</v>
      </c>
      <c r="AV672" s="28">
        <f>AW672+AX672</f>
        <v>0</v>
      </c>
      <c r="AW672" s="28">
        <f>I672*AO672</f>
        <v>0</v>
      </c>
      <c r="AX672" s="28">
        <f>I672*AP672</f>
        <v>0</v>
      </c>
      <c r="AY672" s="31" t="s">
        <v>1594</v>
      </c>
      <c r="AZ672" s="31" t="s">
        <v>1622</v>
      </c>
      <c r="BA672" s="27" t="s">
        <v>1628</v>
      </c>
      <c r="BC672" s="28">
        <f>AW672+AX672</f>
        <v>0</v>
      </c>
      <c r="BD672" s="28">
        <f>J672/(100-BE672)*100</f>
        <v>0</v>
      </c>
      <c r="BE672" s="28">
        <v>0</v>
      </c>
      <c r="BF672" s="28">
        <f>672</f>
        <v>672</v>
      </c>
      <c r="BH672" s="18">
        <f>I672*AO672</f>
        <v>0</v>
      </c>
      <c r="BI672" s="18">
        <f>I672*AP672</f>
        <v>0</v>
      </c>
      <c r="BJ672" s="18">
        <f>I672*J672</f>
        <v>0</v>
      </c>
      <c r="BK672" s="18" t="s">
        <v>1634</v>
      </c>
      <c r="BL672" s="28">
        <v>765</v>
      </c>
    </row>
    <row r="673" spans="1:15" ht="12.75">
      <c r="A673" s="82"/>
      <c r="B673" s="83"/>
      <c r="C673" s="83"/>
      <c r="D673" s="85" t="s">
        <v>1040</v>
      </c>
      <c r="G673" s="86" t="s">
        <v>1471</v>
      </c>
      <c r="H673" s="83"/>
      <c r="I673" s="88">
        <v>511.952</v>
      </c>
      <c r="J673" s="83"/>
      <c r="K673" s="83"/>
      <c r="L673" s="83"/>
      <c r="M673" s="83"/>
      <c r="N673" s="80"/>
      <c r="O673" s="67"/>
    </row>
    <row r="674" spans="1:15" ht="12.75">
      <c r="A674" s="3"/>
      <c r="C674" s="13" t="s">
        <v>302</v>
      </c>
      <c r="D674" s="145" t="s">
        <v>1041</v>
      </c>
      <c r="E674" s="146"/>
      <c r="F674" s="146"/>
      <c r="G674" s="146"/>
      <c r="H674" s="146"/>
      <c r="I674" s="146"/>
      <c r="J674" s="146"/>
      <c r="K674" s="146"/>
      <c r="L674" s="146"/>
      <c r="M674" s="146"/>
      <c r="N674" s="147"/>
      <c r="O674" s="3"/>
    </row>
    <row r="675" spans="1:15" ht="12.75">
      <c r="A675" s="3"/>
      <c r="C675" s="12" t="s">
        <v>296</v>
      </c>
      <c r="D675" s="142" t="s">
        <v>622</v>
      </c>
      <c r="E675" s="143"/>
      <c r="F675" s="143"/>
      <c r="G675" s="143"/>
      <c r="H675" s="143"/>
      <c r="I675" s="143"/>
      <c r="J675" s="143"/>
      <c r="K675" s="143"/>
      <c r="L675" s="143"/>
      <c r="M675" s="143"/>
      <c r="N675" s="144"/>
      <c r="O675" s="3"/>
    </row>
    <row r="676" spans="1:64" ht="12.75">
      <c r="A676" s="74" t="s">
        <v>149</v>
      </c>
      <c r="B676" s="74" t="s">
        <v>283</v>
      </c>
      <c r="C676" s="74" t="s">
        <v>440</v>
      </c>
      <c r="D676" s="133" t="s">
        <v>1042</v>
      </c>
      <c r="E676" s="134"/>
      <c r="F676" s="134"/>
      <c r="G676" s="135"/>
      <c r="H676" s="74" t="s">
        <v>1535</v>
      </c>
      <c r="I676" s="75">
        <v>219.408</v>
      </c>
      <c r="J676" s="75">
        <v>0</v>
      </c>
      <c r="K676" s="75">
        <f>I676*AO676</f>
        <v>0</v>
      </c>
      <c r="L676" s="75">
        <f>I676*AP676</f>
        <v>0</v>
      </c>
      <c r="M676" s="75">
        <f>I676*J676</f>
        <v>0</v>
      </c>
      <c r="N676" s="78" t="s">
        <v>1556</v>
      </c>
      <c r="O676" s="67"/>
      <c r="Z676" s="28">
        <f>IF(AQ676="5",BJ676,0)</f>
        <v>0</v>
      </c>
      <c r="AB676" s="28">
        <f>IF(AQ676="1",BH676,0)</f>
        <v>0</v>
      </c>
      <c r="AC676" s="28">
        <f>IF(AQ676="1",BI676,0)</f>
        <v>0</v>
      </c>
      <c r="AD676" s="28">
        <f>IF(AQ676="7",BH676,0)</f>
        <v>0</v>
      </c>
      <c r="AE676" s="28">
        <f>IF(AQ676="7",BI676,0)</f>
        <v>0</v>
      </c>
      <c r="AF676" s="28">
        <f>IF(AQ676="2",BH676,0)</f>
        <v>0</v>
      </c>
      <c r="AG676" s="28">
        <f>IF(AQ676="2",BI676,0)</f>
        <v>0</v>
      </c>
      <c r="AH676" s="28">
        <f>IF(AQ676="0",BJ676,0)</f>
        <v>0</v>
      </c>
      <c r="AI676" s="27" t="s">
        <v>283</v>
      </c>
      <c r="AJ676" s="18">
        <f>IF(AN676=0,M676,0)</f>
        <v>0</v>
      </c>
      <c r="AK676" s="18">
        <f>IF(AN676=15,M676,0)</f>
        <v>0</v>
      </c>
      <c r="AL676" s="18">
        <f>IF(AN676=21,M676,0)</f>
        <v>0</v>
      </c>
      <c r="AN676" s="28">
        <v>15</v>
      </c>
      <c r="AO676" s="28">
        <f>J676*0.651557599396902</f>
        <v>0</v>
      </c>
      <c r="AP676" s="28">
        <f>J676*(1-0.651557599396902)</f>
        <v>0</v>
      </c>
      <c r="AQ676" s="29" t="s">
        <v>13</v>
      </c>
      <c r="AV676" s="28">
        <f>AW676+AX676</f>
        <v>0</v>
      </c>
      <c r="AW676" s="28">
        <f>I676*AO676</f>
        <v>0</v>
      </c>
      <c r="AX676" s="28">
        <f>I676*AP676</f>
        <v>0</v>
      </c>
      <c r="AY676" s="31" t="s">
        <v>1594</v>
      </c>
      <c r="AZ676" s="31" t="s">
        <v>1622</v>
      </c>
      <c r="BA676" s="27" t="s">
        <v>1628</v>
      </c>
      <c r="BC676" s="28">
        <f>AW676+AX676</f>
        <v>0</v>
      </c>
      <c r="BD676" s="28">
        <f>J676/(100-BE676)*100</f>
        <v>0</v>
      </c>
      <c r="BE676" s="28">
        <v>0</v>
      </c>
      <c r="BF676" s="28">
        <f>676</f>
        <v>676</v>
      </c>
      <c r="BH676" s="18">
        <f>I676*AO676</f>
        <v>0</v>
      </c>
      <c r="BI676" s="18">
        <f>I676*AP676</f>
        <v>0</v>
      </c>
      <c r="BJ676" s="18">
        <f>I676*J676</f>
        <v>0</v>
      </c>
      <c r="BK676" s="18" t="s">
        <v>1634</v>
      </c>
      <c r="BL676" s="28">
        <v>765</v>
      </c>
    </row>
    <row r="677" spans="1:15" ht="12.75">
      <c r="A677" s="3"/>
      <c r="D677" s="136" t="s">
        <v>1043</v>
      </c>
      <c r="E677" s="137"/>
      <c r="F677" s="137"/>
      <c r="G677" s="137"/>
      <c r="H677" s="137"/>
      <c r="I677" s="137"/>
      <c r="J677" s="137"/>
      <c r="K677" s="137"/>
      <c r="L677" s="137"/>
      <c r="M677" s="137"/>
      <c r="N677" s="138"/>
      <c r="O677" s="3"/>
    </row>
    <row r="678" spans="1:15" ht="12.75">
      <c r="A678" s="82"/>
      <c r="B678" s="83"/>
      <c r="C678" s="83"/>
      <c r="D678" s="85" t="s">
        <v>1044</v>
      </c>
      <c r="G678" s="86" t="s">
        <v>1472</v>
      </c>
      <c r="H678" s="83"/>
      <c r="I678" s="88">
        <v>219.408</v>
      </c>
      <c r="J678" s="83"/>
      <c r="K678" s="83"/>
      <c r="L678" s="83"/>
      <c r="M678" s="83"/>
      <c r="N678" s="80"/>
      <c r="O678" s="67"/>
    </row>
    <row r="679" spans="1:15" ht="12.75">
      <c r="A679" s="3"/>
      <c r="C679" s="13" t="s">
        <v>302</v>
      </c>
      <c r="D679" s="145" t="s">
        <v>1045</v>
      </c>
      <c r="E679" s="146"/>
      <c r="F679" s="146"/>
      <c r="G679" s="146"/>
      <c r="H679" s="146"/>
      <c r="I679" s="146"/>
      <c r="J679" s="146"/>
      <c r="K679" s="146"/>
      <c r="L679" s="146"/>
      <c r="M679" s="146"/>
      <c r="N679" s="147"/>
      <c r="O679" s="3"/>
    </row>
    <row r="680" spans="1:64" ht="12.75">
      <c r="A680" s="81" t="s">
        <v>150</v>
      </c>
      <c r="B680" s="81" t="s">
        <v>283</v>
      </c>
      <c r="C680" s="81" t="s">
        <v>441</v>
      </c>
      <c r="D680" s="139" t="s">
        <v>1046</v>
      </c>
      <c r="E680" s="134"/>
      <c r="F680" s="134"/>
      <c r="G680" s="140"/>
      <c r="H680" s="81" t="s">
        <v>1539</v>
      </c>
      <c r="I680" s="87">
        <v>72.53</v>
      </c>
      <c r="J680" s="87">
        <v>0</v>
      </c>
      <c r="K680" s="87">
        <f>I680*AO680</f>
        <v>0</v>
      </c>
      <c r="L680" s="87">
        <f>I680*AP680</f>
        <v>0</v>
      </c>
      <c r="M680" s="87">
        <f>I680*J680</f>
        <v>0</v>
      </c>
      <c r="N680" s="77" t="s">
        <v>1556</v>
      </c>
      <c r="O680" s="67"/>
      <c r="Z680" s="28">
        <f>IF(AQ680="5",BJ680,0)</f>
        <v>0</v>
      </c>
      <c r="AB680" s="28">
        <f>IF(AQ680="1",BH680,0)</f>
        <v>0</v>
      </c>
      <c r="AC680" s="28">
        <f>IF(AQ680="1",BI680,0)</f>
        <v>0</v>
      </c>
      <c r="AD680" s="28">
        <f>IF(AQ680="7",BH680,0)</f>
        <v>0</v>
      </c>
      <c r="AE680" s="28">
        <f>IF(AQ680="7",BI680,0)</f>
        <v>0</v>
      </c>
      <c r="AF680" s="28">
        <f>IF(AQ680="2",BH680,0)</f>
        <v>0</v>
      </c>
      <c r="AG680" s="28">
        <f>IF(AQ680="2",BI680,0)</f>
        <v>0</v>
      </c>
      <c r="AH680" s="28">
        <f>IF(AQ680="0",BJ680,0)</f>
        <v>0</v>
      </c>
      <c r="AI680" s="27" t="s">
        <v>283</v>
      </c>
      <c r="AJ680" s="18">
        <f>IF(AN680=0,M680,0)</f>
        <v>0</v>
      </c>
      <c r="AK680" s="18">
        <f>IF(AN680=15,M680,0)</f>
        <v>0</v>
      </c>
      <c r="AL680" s="18">
        <f>IF(AN680=21,M680,0)</f>
        <v>0</v>
      </c>
      <c r="AN680" s="28">
        <v>15</v>
      </c>
      <c r="AO680" s="28">
        <f>J680*0.72110251450677</f>
        <v>0</v>
      </c>
      <c r="AP680" s="28">
        <f>J680*(1-0.72110251450677)</f>
        <v>0</v>
      </c>
      <c r="AQ680" s="29" t="s">
        <v>13</v>
      </c>
      <c r="AV680" s="28">
        <f>AW680+AX680</f>
        <v>0</v>
      </c>
      <c r="AW680" s="28">
        <f>I680*AO680</f>
        <v>0</v>
      </c>
      <c r="AX680" s="28">
        <f>I680*AP680</f>
        <v>0</v>
      </c>
      <c r="AY680" s="31" t="s">
        <v>1594</v>
      </c>
      <c r="AZ680" s="31" t="s">
        <v>1622</v>
      </c>
      <c r="BA680" s="27" t="s">
        <v>1628</v>
      </c>
      <c r="BC680" s="28">
        <f>AW680+AX680</f>
        <v>0</v>
      </c>
      <c r="BD680" s="28">
        <f>J680/(100-BE680)*100</f>
        <v>0</v>
      </c>
      <c r="BE680" s="28">
        <v>0</v>
      </c>
      <c r="BF680" s="28">
        <f>680</f>
        <v>680</v>
      </c>
      <c r="BH680" s="18">
        <f>I680*AO680</f>
        <v>0</v>
      </c>
      <c r="BI680" s="18">
        <f>I680*AP680</f>
        <v>0</v>
      </c>
      <c r="BJ680" s="18">
        <f>I680*J680</f>
        <v>0</v>
      </c>
      <c r="BK680" s="18" t="s">
        <v>1634</v>
      </c>
      <c r="BL680" s="28">
        <v>765</v>
      </c>
    </row>
    <row r="681" spans="1:15" ht="12.75">
      <c r="A681" s="89"/>
      <c r="B681" s="90"/>
      <c r="C681" s="90"/>
      <c r="D681" s="84" t="s">
        <v>1047</v>
      </c>
      <c r="G681" s="91" t="s">
        <v>1473</v>
      </c>
      <c r="H681" s="90"/>
      <c r="I681" s="92">
        <v>37.13</v>
      </c>
      <c r="J681" s="90"/>
      <c r="K681" s="90"/>
      <c r="L681" s="90"/>
      <c r="M681" s="90"/>
      <c r="N681" s="79"/>
      <c r="O681" s="67"/>
    </row>
    <row r="682" spans="1:15" ht="12.75">
      <c r="A682" s="82"/>
      <c r="B682" s="83"/>
      <c r="C682" s="83"/>
      <c r="D682" s="85" t="s">
        <v>1048</v>
      </c>
      <c r="G682" s="86" t="s">
        <v>1474</v>
      </c>
      <c r="H682" s="83"/>
      <c r="I682" s="88">
        <v>35.4</v>
      </c>
      <c r="J682" s="83"/>
      <c r="K682" s="83"/>
      <c r="L682" s="83"/>
      <c r="M682" s="83"/>
      <c r="N682" s="80"/>
      <c r="O682" s="67"/>
    </row>
    <row r="683" spans="1:15" ht="12.75">
      <c r="A683" s="3"/>
      <c r="C683" s="13" t="s">
        <v>302</v>
      </c>
      <c r="D683" s="145" t="s">
        <v>1049</v>
      </c>
      <c r="E683" s="146"/>
      <c r="F683" s="146"/>
      <c r="G683" s="146"/>
      <c r="H683" s="146"/>
      <c r="I683" s="146"/>
      <c r="J683" s="146"/>
      <c r="K683" s="146"/>
      <c r="L683" s="146"/>
      <c r="M683" s="146"/>
      <c r="N683" s="147"/>
      <c r="O683" s="3"/>
    </row>
    <row r="684" spans="1:15" ht="12.75">
      <c r="A684" s="3"/>
      <c r="C684" s="12" t="s">
        <v>296</v>
      </c>
      <c r="D684" s="142" t="s">
        <v>622</v>
      </c>
      <c r="E684" s="143"/>
      <c r="F684" s="143"/>
      <c r="G684" s="143"/>
      <c r="H684" s="143"/>
      <c r="I684" s="143"/>
      <c r="J684" s="143"/>
      <c r="K684" s="143"/>
      <c r="L684" s="143"/>
      <c r="M684" s="143"/>
      <c r="N684" s="144"/>
      <c r="O684" s="3"/>
    </row>
    <row r="685" spans="1:64" ht="12.75">
      <c r="A685" s="81" t="s">
        <v>151</v>
      </c>
      <c r="B685" s="81" t="s">
        <v>283</v>
      </c>
      <c r="C685" s="81" t="s">
        <v>442</v>
      </c>
      <c r="D685" s="139" t="s">
        <v>1050</v>
      </c>
      <c r="E685" s="134"/>
      <c r="F685" s="134"/>
      <c r="G685" s="140"/>
      <c r="H685" s="81" t="s">
        <v>1535</v>
      </c>
      <c r="I685" s="87">
        <v>731.36</v>
      </c>
      <c r="J685" s="87">
        <v>0</v>
      </c>
      <c r="K685" s="87">
        <f>I685*AO685</f>
        <v>0</v>
      </c>
      <c r="L685" s="87">
        <f>I685*AP685</f>
        <v>0</v>
      </c>
      <c r="M685" s="87">
        <f>I685*J685</f>
        <v>0</v>
      </c>
      <c r="N685" s="77" t="s">
        <v>1556</v>
      </c>
      <c r="O685" s="67"/>
      <c r="Z685" s="28">
        <f>IF(AQ685="5",BJ685,0)</f>
        <v>0</v>
      </c>
      <c r="AB685" s="28">
        <f>IF(AQ685="1",BH685,0)</f>
        <v>0</v>
      </c>
      <c r="AC685" s="28">
        <f>IF(AQ685="1",BI685,0)</f>
        <v>0</v>
      </c>
      <c r="AD685" s="28">
        <f>IF(AQ685="7",BH685,0)</f>
        <v>0</v>
      </c>
      <c r="AE685" s="28">
        <f>IF(AQ685="7",BI685,0)</f>
        <v>0</v>
      </c>
      <c r="AF685" s="28">
        <f>IF(AQ685="2",BH685,0)</f>
        <v>0</v>
      </c>
      <c r="AG685" s="28">
        <f>IF(AQ685="2",BI685,0)</f>
        <v>0</v>
      </c>
      <c r="AH685" s="28">
        <f>IF(AQ685="0",BJ685,0)</f>
        <v>0</v>
      </c>
      <c r="AI685" s="27" t="s">
        <v>283</v>
      </c>
      <c r="AJ685" s="18">
        <f>IF(AN685=0,M685,0)</f>
        <v>0</v>
      </c>
      <c r="AK685" s="18">
        <f>IF(AN685=15,M685,0)</f>
        <v>0</v>
      </c>
      <c r="AL685" s="18">
        <f>IF(AN685=21,M685,0)</f>
        <v>0</v>
      </c>
      <c r="AN685" s="28">
        <v>15</v>
      </c>
      <c r="AO685" s="28">
        <f>J685*0.012967032967033</f>
        <v>0</v>
      </c>
      <c r="AP685" s="28">
        <f>J685*(1-0.012967032967033)</f>
        <v>0</v>
      </c>
      <c r="AQ685" s="29" t="s">
        <v>13</v>
      </c>
      <c r="AV685" s="28">
        <f>AW685+AX685</f>
        <v>0</v>
      </c>
      <c r="AW685" s="28">
        <f>I685*AO685</f>
        <v>0</v>
      </c>
      <c r="AX685" s="28">
        <f>I685*AP685</f>
        <v>0</v>
      </c>
      <c r="AY685" s="31" t="s">
        <v>1594</v>
      </c>
      <c r="AZ685" s="31" t="s">
        <v>1622</v>
      </c>
      <c r="BA685" s="27" t="s">
        <v>1628</v>
      </c>
      <c r="BC685" s="28">
        <f>AW685+AX685</f>
        <v>0</v>
      </c>
      <c r="BD685" s="28">
        <f>J685/(100-BE685)*100</f>
        <v>0</v>
      </c>
      <c r="BE685" s="28">
        <v>0</v>
      </c>
      <c r="BF685" s="28">
        <f>685</f>
        <v>685</v>
      </c>
      <c r="BH685" s="18">
        <f>I685*AO685</f>
        <v>0</v>
      </c>
      <c r="BI685" s="18">
        <f>I685*AP685</f>
        <v>0</v>
      </c>
      <c r="BJ685" s="18">
        <f>I685*J685</f>
        <v>0</v>
      </c>
      <c r="BK685" s="18" t="s">
        <v>1634</v>
      </c>
      <c r="BL685" s="28">
        <v>765</v>
      </c>
    </row>
    <row r="686" spans="1:15" ht="12.75">
      <c r="A686" s="82"/>
      <c r="B686" s="83"/>
      <c r="C686" s="83"/>
      <c r="D686" s="85" t="s">
        <v>920</v>
      </c>
      <c r="G686" s="86"/>
      <c r="H686" s="83"/>
      <c r="I686" s="88">
        <v>731.36</v>
      </c>
      <c r="J686" s="83"/>
      <c r="K686" s="83"/>
      <c r="L686" s="83"/>
      <c r="M686" s="83"/>
      <c r="N686" s="80"/>
      <c r="O686" s="67"/>
    </row>
    <row r="687" spans="1:15" ht="12.75">
      <c r="A687" s="3"/>
      <c r="C687" s="13" t="s">
        <v>302</v>
      </c>
      <c r="D687" s="145" t="s">
        <v>1051</v>
      </c>
      <c r="E687" s="146"/>
      <c r="F687" s="146"/>
      <c r="G687" s="146"/>
      <c r="H687" s="146"/>
      <c r="I687" s="146"/>
      <c r="J687" s="146"/>
      <c r="K687" s="146"/>
      <c r="L687" s="146"/>
      <c r="M687" s="146"/>
      <c r="N687" s="147"/>
      <c r="O687" s="3"/>
    </row>
    <row r="688" spans="1:15" ht="12.75">
      <c r="A688" s="3"/>
      <c r="C688" s="12" t="s">
        <v>296</v>
      </c>
      <c r="D688" s="142" t="s">
        <v>622</v>
      </c>
      <c r="E688" s="143"/>
      <c r="F688" s="143"/>
      <c r="G688" s="143"/>
      <c r="H688" s="143"/>
      <c r="I688" s="143"/>
      <c r="J688" s="143"/>
      <c r="K688" s="143"/>
      <c r="L688" s="143"/>
      <c r="M688" s="143"/>
      <c r="N688" s="144"/>
      <c r="O688" s="3"/>
    </row>
    <row r="689" spans="1:64" ht="12.75">
      <c r="A689" s="74" t="s">
        <v>152</v>
      </c>
      <c r="B689" s="74" t="s">
        <v>283</v>
      </c>
      <c r="C689" s="74" t="s">
        <v>443</v>
      </c>
      <c r="D689" s="133" t="s">
        <v>1052</v>
      </c>
      <c r="E689" s="134"/>
      <c r="F689" s="134"/>
      <c r="G689" s="135"/>
      <c r="H689" s="74" t="s">
        <v>1538</v>
      </c>
      <c r="I689" s="75">
        <v>1023.904</v>
      </c>
      <c r="J689" s="75">
        <v>0</v>
      </c>
      <c r="K689" s="75">
        <f>I689*AO689</f>
        <v>0</v>
      </c>
      <c r="L689" s="75">
        <f>I689*AP689</f>
        <v>0</v>
      </c>
      <c r="M689" s="75">
        <f>I689*J689</f>
        <v>0</v>
      </c>
      <c r="N689" s="78" t="s">
        <v>1556</v>
      </c>
      <c r="O689" s="67"/>
      <c r="Z689" s="28">
        <f>IF(AQ689="5",BJ689,0)</f>
        <v>0</v>
      </c>
      <c r="AB689" s="28">
        <f>IF(AQ689="1",BH689,0)</f>
        <v>0</v>
      </c>
      <c r="AC689" s="28">
        <f>IF(AQ689="1",BI689,0)</f>
        <v>0</v>
      </c>
      <c r="AD689" s="28">
        <f>IF(AQ689="7",BH689,0)</f>
        <v>0</v>
      </c>
      <c r="AE689" s="28">
        <f>IF(AQ689="7",BI689,0)</f>
        <v>0</v>
      </c>
      <c r="AF689" s="28">
        <f>IF(AQ689="2",BH689,0)</f>
        <v>0</v>
      </c>
      <c r="AG689" s="28">
        <f>IF(AQ689="2",BI689,0)</f>
        <v>0</v>
      </c>
      <c r="AH689" s="28">
        <f>IF(AQ689="0",BJ689,0)</f>
        <v>0</v>
      </c>
      <c r="AI689" s="27" t="s">
        <v>283</v>
      </c>
      <c r="AJ689" s="18">
        <f>IF(AN689=0,M689,0)</f>
        <v>0</v>
      </c>
      <c r="AK689" s="18">
        <f>IF(AN689=15,M689,0)</f>
        <v>0</v>
      </c>
      <c r="AL689" s="18">
        <f>IF(AN689=21,M689,0)</f>
        <v>0</v>
      </c>
      <c r="AN689" s="28">
        <v>15</v>
      </c>
      <c r="AO689" s="28">
        <f>J689*0.468820255587093</f>
        <v>0</v>
      </c>
      <c r="AP689" s="28">
        <f>J689*(1-0.468820255587093)</f>
        <v>0</v>
      </c>
      <c r="AQ689" s="29" t="s">
        <v>13</v>
      </c>
      <c r="AV689" s="28">
        <f>AW689+AX689</f>
        <v>0</v>
      </c>
      <c r="AW689" s="28">
        <f>I689*AO689</f>
        <v>0</v>
      </c>
      <c r="AX689" s="28">
        <f>I689*AP689</f>
        <v>0</v>
      </c>
      <c r="AY689" s="31" t="s">
        <v>1594</v>
      </c>
      <c r="AZ689" s="31" t="s">
        <v>1622</v>
      </c>
      <c r="BA689" s="27" t="s">
        <v>1628</v>
      </c>
      <c r="BC689" s="28">
        <f>AW689+AX689</f>
        <v>0</v>
      </c>
      <c r="BD689" s="28">
        <f>J689/(100-BE689)*100</f>
        <v>0</v>
      </c>
      <c r="BE689" s="28">
        <v>0</v>
      </c>
      <c r="BF689" s="28">
        <f>689</f>
        <v>689</v>
      </c>
      <c r="BH689" s="18">
        <f>I689*AO689</f>
        <v>0</v>
      </c>
      <c r="BI689" s="18">
        <f>I689*AP689</f>
        <v>0</v>
      </c>
      <c r="BJ689" s="18">
        <f>I689*J689</f>
        <v>0</v>
      </c>
      <c r="BK689" s="18" t="s">
        <v>1634</v>
      </c>
      <c r="BL689" s="28">
        <v>765</v>
      </c>
    </row>
    <row r="690" spans="1:15" ht="25.5" customHeight="1">
      <c r="A690" s="3"/>
      <c r="D690" s="136" t="s">
        <v>1053</v>
      </c>
      <c r="E690" s="137"/>
      <c r="F690" s="137"/>
      <c r="G690" s="137"/>
      <c r="H690" s="137"/>
      <c r="I690" s="137"/>
      <c r="J690" s="137"/>
      <c r="K690" s="137"/>
      <c r="L690" s="137"/>
      <c r="M690" s="137"/>
      <c r="N690" s="138"/>
      <c r="O690" s="3"/>
    </row>
    <row r="691" spans="1:15" ht="12.75">
      <c r="A691" s="82"/>
      <c r="B691" s="83"/>
      <c r="C691" s="83"/>
      <c r="D691" s="85" t="s">
        <v>1054</v>
      </c>
      <c r="G691" s="86"/>
      <c r="H691" s="83"/>
      <c r="I691" s="88">
        <v>1023.904</v>
      </c>
      <c r="J691" s="83"/>
      <c r="K691" s="83"/>
      <c r="L691" s="83"/>
      <c r="M691" s="83"/>
      <c r="N691" s="80"/>
      <c r="O691" s="67"/>
    </row>
    <row r="692" spans="1:15" ht="12.75">
      <c r="A692" s="3"/>
      <c r="C692" s="12" t="s">
        <v>296</v>
      </c>
      <c r="D692" s="142" t="s">
        <v>622</v>
      </c>
      <c r="E692" s="143"/>
      <c r="F692" s="143"/>
      <c r="G692" s="143"/>
      <c r="H692" s="143"/>
      <c r="I692" s="143"/>
      <c r="J692" s="143"/>
      <c r="K692" s="143"/>
      <c r="L692" s="143"/>
      <c r="M692" s="143"/>
      <c r="N692" s="144"/>
      <c r="O692" s="3"/>
    </row>
    <row r="693" spans="1:64" ht="12.75">
      <c r="A693" s="81" t="s">
        <v>153</v>
      </c>
      <c r="B693" s="81" t="s">
        <v>283</v>
      </c>
      <c r="C693" s="81" t="s">
        <v>444</v>
      </c>
      <c r="D693" s="139" t="s">
        <v>1055</v>
      </c>
      <c r="E693" s="134"/>
      <c r="F693" s="134"/>
      <c r="G693" s="140"/>
      <c r="H693" s="81" t="s">
        <v>1539</v>
      </c>
      <c r="I693" s="87">
        <v>72.53</v>
      </c>
      <c r="J693" s="87">
        <v>0</v>
      </c>
      <c r="K693" s="87">
        <f>I693*AO693</f>
        <v>0</v>
      </c>
      <c r="L693" s="87">
        <f>I693*AP693</f>
        <v>0</v>
      </c>
      <c r="M693" s="87">
        <f>I693*J693</f>
        <v>0</v>
      </c>
      <c r="N693" s="77" t="s">
        <v>1556</v>
      </c>
      <c r="O693" s="67"/>
      <c r="Z693" s="28">
        <f>IF(AQ693="5",BJ693,0)</f>
        <v>0</v>
      </c>
      <c r="AB693" s="28">
        <f>IF(AQ693="1",BH693,0)</f>
        <v>0</v>
      </c>
      <c r="AC693" s="28">
        <f>IF(AQ693="1",BI693,0)</f>
        <v>0</v>
      </c>
      <c r="AD693" s="28">
        <f>IF(AQ693="7",BH693,0)</f>
        <v>0</v>
      </c>
      <c r="AE693" s="28">
        <f>IF(AQ693="7",BI693,0)</f>
        <v>0</v>
      </c>
      <c r="AF693" s="28">
        <f>IF(AQ693="2",BH693,0)</f>
        <v>0</v>
      </c>
      <c r="AG693" s="28">
        <f>IF(AQ693="2",BI693,0)</f>
        <v>0</v>
      </c>
      <c r="AH693" s="28">
        <f>IF(AQ693="0",BJ693,0)</f>
        <v>0</v>
      </c>
      <c r="AI693" s="27" t="s">
        <v>283</v>
      </c>
      <c r="AJ693" s="18">
        <f>IF(AN693=0,M693,0)</f>
        <v>0</v>
      </c>
      <c r="AK693" s="18">
        <f>IF(AN693=15,M693,0)</f>
        <v>0</v>
      </c>
      <c r="AL693" s="18">
        <f>IF(AN693=21,M693,0)</f>
        <v>0</v>
      </c>
      <c r="AN693" s="28">
        <v>15</v>
      </c>
      <c r="AO693" s="28">
        <f>J693*0</f>
        <v>0</v>
      </c>
      <c r="AP693" s="28">
        <f>J693*(1-0)</f>
        <v>0</v>
      </c>
      <c r="AQ693" s="29" t="s">
        <v>13</v>
      </c>
      <c r="AV693" s="28">
        <f>AW693+AX693</f>
        <v>0</v>
      </c>
      <c r="AW693" s="28">
        <f>I693*AO693</f>
        <v>0</v>
      </c>
      <c r="AX693" s="28">
        <f>I693*AP693</f>
        <v>0</v>
      </c>
      <c r="AY693" s="31" t="s">
        <v>1594</v>
      </c>
      <c r="AZ693" s="31" t="s">
        <v>1622</v>
      </c>
      <c r="BA693" s="27" t="s">
        <v>1628</v>
      </c>
      <c r="BC693" s="28">
        <f>AW693+AX693</f>
        <v>0</v>
      </c>
      <c r="BD693" s="28">
        <f>J693/(100-BE693)*100</f>
        <v>0</v>
      </c>
      <c r="BE693" s="28">
        <v>0</v>
      </c>
      <c r="BF693" s="28">
        <f>693</f>
        <v>693</v>
      </c>
      <c r="BH693" s="18">
        <f>I693*AO693</f>
        <v>0</v>
      </c>
      <c r="BI693" s="18">
        <f>I693*AP693</f>
        <v>0</v>
      </c>
      <c r="BJ693" s="18">
        <f>I693*J693</f>
        <v>0</v>
      </c>
      <c r="BK693" s="18" t="s">
        <v>1634</v>
      </c>
      <c r="BL693" s="28">
        <v>765</v>
      </c>
    </row>
    <row r="694" spans="1:15" ht="12.75">
      <c r="A694" s="89"/>
      <c r="B694" s="90"/>
      <c r="C694" s="90"/>
      <c r="D694" s="84" t="s">
        <v>1047</v>
      </c>
      <c r="G694" s="91" t="s">
        <v>1473</v>
      </c>
      <c r="H694" s="90"/>
      <c r="I694" s="92">
        <v>37.13</v>
      </c>
      <c r="J694" s="90"/>
      <c r="K694" s="90"/>
      <c r="L694" s="90"/>
      <c r="M694" s="90"/>
      <c r="N694" s="79"/>
      <c r="O694" s="67"/>
    </row>
    <row r="695" spans="1:15" ht="12.75">
      <c r="A695" s="82"/>
      <c r="B695" s="83"/>
      <c r="C695" s="83"/>
      <c r="D695" s="85" t="s">
        <v>1048</v>
      </c>
      <c r="G695" s="86" t="s">
        <v>1474</v>
      </c>
      <c r="H695" s="83"/>
      <c r="I695" s="88">
        <v>35.4</v>
      </c>
      <c r="J695" s="83"/>
      <c r="K695" s="83"/>
      <c r="L695" s="83"/>
      <c r="M695" s="83"/>
      <c r="N695" s="80"/>
      <c r="O695" s="67"/>
    </row>
    <row r="696" spans="1:15" ht="12.75">
      <c r="A696" s="3"/>
      <c r="C696" s="12" t="s">
        <v>296</v>
      </c>
      <c r="D696" s="142" t="s">
        <v>622</v>
      </c>
      <c r="E696" s="143"/>
      <c r="F696" s="143"/>
      <c r="G696" s="143"/>
      <c r="H696" s="143"/>
      <c r="I696" s="143"/>
      <c r="J696" s="143"/>
      <c r="K696" s="143"/>
      <c r="L696" s="143"/>
      <c r="M696" s="143"/>
      <c r="N696" s="144"/>
      <c r="O696" s="3"/>
    </row>
    <row r="697" spans="1:64" ht="12.75">
      <c r="A697" s="81" t="s">
        <v>154</v>
      </c>
      <c r="B697" s="81" t="s">
        <v>283</v>
      </c>
      <c r="C697" s="81" t="s">
        <v>445</v>
      </c>
      <c r="D697" s="139" t="s">
        <v>1056</v>
      </c>
      <c r="E697" s="134"/>
      <c r="F697" s="134"/>
      <c r="G697" s="140"/>
      <c r="H697" s="81" t="s">
        <v>1539</v>
      </c>
      <c r="I697" s="87">
        <v>62.4</v>
      </c>
      <c r="J697" s="87">
        <v>0</v>
      </c>
      <c r="K697" s="87">
        <f>I697*AO697</f>
        <v>0</v>
      </c>
      <c r="L697" s="87">
        <f>I697*AP697</f>
        <v>0</v>
      </c>
      <c r="M697" s="87">
        <f>I697*J697</f>
        <v>0</v>
      </c>
      <c r="N697" s="77" t="s">
        <v>1556</v>
      </c>
      <c r="O697" s="67"/>
      <c r="Z697" s="28">
        <f>IF(AQ697="5",BJ697,0)</f>
        <v>0</v>
      </c>
      <c r="AB697" s="28">
        <f>IF(AQ697="1",BH697,0)</f>
        <v>0</v>
      </c>
      <c r="AC697" s="28">
        <f>IF(AQ697="1",BI697,0)</f>
        <v>0</v>
      </c>
      <c r="AD697" s="28">
        <f>IF(AQ697="7",BH697,0)</f>
        <v>0</v>
      </c>
      <c r="AE697" s="28">
        <f>IF(AQ697="7",BI697,0)</f>
        <v>0</v>
      </c>
      <c r="AF697" s="28">
        <f>IF(AQ697="2",BH697,0)</f>
        <v>0</v>
      </c>
      <c r="AG697" s="28">
        <f>IF(AQ697="2",BI697,0)</f>
        <v>0</v>
      </c>
      <c r="AH697" s="28">
        <f>IF(AQ697="0",BJ697,0)</f>
        <v>0</v>
      </c>
      <c r="AI697" s="27" t="s">
        <v>283</v>
      </c>
      <c r="AJ697" s="18">
        <f>IF(AN697=0,M697,0)</f>
        <v>0</v>
      </c>
      <c r="AK697" s="18">
        <f>IF(AN697=15,M697,0)</f>
        <v>0</v>
      </c>
      <c r="AL697" s="18">
        <f>IF(AN697=21,M697,0)</f>
        <v>0</v>
      </c>
      <c r="AN697" s="28">
        <v>15</v>
      </c>
      <c r="AO697" s="28">
        <f>J697*0.30735632183908</f>
        <v>0</v>
      </c>
      <c r="AP697" s="28">
        <f>J697*(1-0.30735632183908)</f>
        <v>0</v>
      </c>
      <c r="AQ697" s="29" t="s">
        <v>13</v>
      </c>
      <c r="AV697" s="28">
        <f>AW697+AX697</f>
        <v>0</v>
      </c>
      <c r="AW697" s="28">
        <f>I697*AO697</f>
        <v>0</v>
      </c>
      <c r="AX697" s="28">
        <f>I697*AP697</f>
        <v>0</v>
      </c>
      <c r="AY697" s="31" t="s">
        <v>1594</v>
      </c>
      <c r="AZ697" s="31" t="s">
        <v>1622</v>
      </c>
      <c r="BA697" s="27" t="s">
        <v>1628</v>
      </c>
      <c r="BC697" s="28">
        <f>AW697+AX697</f>
        <v>0</v>
      </c>
      <c r="BD697" s="28">
        <f>J697/(100-BE697)*100</f>
        <v>0</v>
      </c>
      <c r="BE697" s="28">
        <v>0</v>
      </c>
      <c r="BF697" s="28">
        <f>697</f>
        <v>697</v>
      </c>
      <c r="BH697" s="18">
        <f>I697*AO697</f>
        <v>0</v>
      </c>
      <c r="BI697" s="18">
        <f>I697*AP697</f>
        <v>0</v>
      </c>
      <c r="BJ697" s="18">
        <f>I697*J697</f>
        <v>0</v>
      </c>
      <c r="BK697" s="18" t="s">
        <v>1634</v>
      </c>
      <c r="BL697" s="28">
        <v>765</v>
      </c>
    </row>
    <row r="698" spans="1:15" ht="12.75">
      <c r="A698" s="82"/>
      <c r="B698" s="83"/>
      <c r="C698" s="83"/>
      <c r="D698" s="85" t="s">
        <v>1057</v>
      </c>
      <c r="G698" s="86"/>
      <c r="H698" s="83"/>
      <c r="I698" s="88">
        <v>62.4</v>
      </c>
      <c r="J698" s="83"/>
      <c r="K698" s="83"/>
      <c r="L698" s="83"/>
      <c r="M698" s="83"/>
      <c r="N698" s="80"/>
      <c r="O698" s="67"/>
    </row>
    <row r="699" spans="1:15" ht="12.75">
      <c r="A699" s="3"/>
      <c r="C699" s="12" t="s">
        <v>296</v>
      </c>
      <c r="D699" s="142" t="s">
        <v>622</v>
      </c>
      <c r="E699" s="143"/>
      <c r="F699" s="143"/>
      <c r="G699" s="143"/>
      <c r="H699" s="143"/>
      <c r="I699" s="143"/>
      <c r="J699" s="143"/>
      <c r="K699" s="143"/>
      <c r="L699" s="143"/>
      <c r="M699" s="143"/>
      <c r="N699" s="144"/>
      <c r="O699" s="3"/>
    </row>
    <row r="700" spans="1:64" ht="12.75">
      <c r="A700" s="74" t="s">
        <v>155</v>
      </c>
      <c r="B700" s="74" t="s">
        <v>283</v>
      </c>
      <c r="C700" s="74" t="s">
        <v>446</v>
      </c>
      <c r="D700" s="133" t="s">
        <v>1058</v>
      </c>
      <c r="E700" s="134"/>
      <c r="F700" s="134"/>
      <c r="G700" s="135"/>
      <c r="H700" s="74" t="s">
        <v>1535</v>
      </c>
      <c r="I700" s="75">
        <v>79.25</v>
      </c>
      <c r="J700" s="75">
        <v>0</v>
      </c>
      <c r="K700" s="75">
        <f>I700*AO700</f>
        <v>0</v>
      </c>
      <c r="L700" s="75">
        <f>I700*AP700</f>
        <v>0</v>
      </c>
      <c r="M700" s="75">
        <f>I700*J700</f>
        <v>0</v>
      </c>
      <c r="N700" s="78" t="s">
        <v>1556</v>
      </c>
      <c r="O700" s="67"/>
      <c r="Z700" s="28">
        <f>IF(AQ700="5",BJ700,0)</f>
        <v>0</v>
      </c>
      <c r="AB700" s="28">
        <f>IF(AQ700="1",BH700,0)</f>
        <v>0</v>
      </c>
      <c r="AC700" s="28">
        <f>IF(AQ700="1",BI700,0)</f>
        <v>0</v>
      </c>
      <c r="AD700" s="28">
        <f>IF(AQ700="7",BH700,0)</f>
        <v>0</v>
      </c>
      <c r="AE700" s="28">
        <f>IF(AQ700="7",BI700,0)</f>
        <v>0</v>
      </c>
      <c r="AF700" s="28">
        <f>IF(AQ700="2",BH700,0)</f>
        <v>0</v>
      </c>
      <c r="AG700" s="28">
        <f>IF(AQ700="2",BI700,0)</f>
        <v>0</v>
      </c>
      <c r="AH700" s="28">
        <f>IF(AQ700="0",BJ700,0)</f>
        <v>0</v>
      </c>
      <c r="AI700" s="27" t="s">
        <v>283</v>
      </c>
      <c r="AJ700" s="18">
        <f>IF(AN700=0,M700,0)</f>
        <v>0</v>
      </c>
      <c r="AK700" s="18">
        <f>IF(AN700=15,M700,0)</f>
        <v>0</v>
      </c>
      <c r="AL700" s="18">
        <f>IF(AN700=21,M700,0)</f>
        <v>0</v>
      </c>
      <c r="AN700" s="28">
        <v>15</v>
      </c>
      <c r="AO700" s="28">
        <f>J700*0.30433273431239</f>
        <v>0</v>
      </c>
      <c r="AP700" s="28">
        <f>J700*(1-0.30433273431239)</f>
        <v>0</v>
      </c>
      <c r="AQ700" s="29" t="s">
        <v>13</v>
      </c>
      <c r="AV700" s="28">
        <f>AW700+AX700</f>
        <v>0</v>
      </c>
      <c r="AW700" s="28">
        <f>I700*AO700</f>
        <v>0</v>
      </c>
      <c r="AX700" s="28">
        <f>I700*AP700</f>
        <v>0</v>
      </c>
      <c r="AY700" s="31" t="s">
        <v>1594</v>
      </c>
      <c r="AZ700" s="31" t="s">
        <v>1622</v>
      </c>
      <c r="BA700" s="27" t="s">
        <v>1628</v>
      </c>
      <c r="BC700" s="28">
        <f>AW700+AX700</f>
        <v>0</v>
      </c>
      <c r="BD700" s="28">
        <f>J700/(100-BE700)*100</f>
        <v>0</v>
      </c>
      <c r="BE700" s="28">
        <v>0</v>
      </c>
      <c r="BF700" s="28">
        <f>700</f>
        <v>700</v>
      </c>
      <c r="BH700" s="18">
        <f>I700*AO700</f>
        <v>0</v>
      </c>
      <c r="BI700" s="18">
        <f>I700*AP700</f>
        <v>0</v>
      </c>
      <c r="BJ700" s="18">
        <f>I700*J700</f>
        <v>0</v>
      </c>
      <c r="BK700" s="18" t="s">
        <v>1634</v>
      </c>
      <c r="BL700" s="28">
        <v>765</v>
      </c>
    </row>
    <row r="701" spans="1:15" ht="12.75">
      <c r="A701" s="3"/>
      <c r="D701" s="136" t="s">
        <v>1059</v>
      </c>
      <c r="E701" s="137"/>
      <c r="F701" s="137"/>
      <c r="G701" s="137"/>
      <c r="H701" s="137"/>
      <c r="I701" s="137"/>
      <c r="J701" s="137"/>
      <c r="K701" s="137"/>
      <c r="L701" s="137"/>
      <c r="M701" s="137"/>
      <c r="N701" s="138"/>
      <c r="O701" s="3"/>
    </row>
    <row r="702" spans="1:15" ht="12.75">
      <c r="A702" s="82"/>
      <c r="B702" s="83"/>
      <c r="C702" s="83"/>
      <c r="D702" s="85" t="s">
        <v>861</v>
      </c>
      <c r="G702" s="86" t="s">
        <v>1409</v>
      </c>
      <c r="H702" s="83"/>
      <c r="I702" s="88">
        <v>79.25</v>
      </c>
      <c r="J702" s="83"/>
      <c r="K702" s="83"/>
      <c r="L702" s="83"/>
      <c r="M702" s="83"/>
      <c r="N702" s="80"/>
      <c r="O702" s="67"/>
    </row>
    <row r="703" spans="1:15" ht="12.75">
      <c r="A703" s="3"/>
      <c r="C703" s="13" t="s">
        <v>302</v>
      </c>
      <c r="D703" s="145" t="s">
        <v>1060</v>
      </c>
      <c r="E703" s="146"/>
      <c r="F703" s="146"/>
      <c r="G703" s="146"/>
      <c r="H703" s="146"/>
      <c r="I703" s="146"/>
      <c r="J703" s="146"/>
      <c r="K703" s="146"/>
      <c r="L703" s="146"/>
      <c r="M703" s="146"/>
      <c r="N703" s="147"/>
      <c r="O703" s="3"/>
    </row>
    <row r="704" spans="1:15" ht="12.75">
      <c r="A704" s="3"/>
      <c r="C704" s="12" t="s">
        <v>296</v>
      </c>
      <c r="D704" s="142" t="s">
        <v>622</v>
      </c>
      <c r="E704" s="143"/>
      <c r="F704" s="143"/>
      <c r="G704" s="143"/>
      <c r="H704" s="143"/>
      <c r="I704" s="143"/>
      <c r="J704" s="143"/>
      <c r="K704" s="143"/>
      <c r="L704" s="143"/>
      <c r="M704" s="143"/>
      <c r="N704" s="144"/>
      <c r="O704" s="3"/>
    </row>
    <row r="705" spans="1:64" ht="12.75">
      <c r="A705" s="81" t="s">
        <v>156</v>
      </c>
      <c r="B705" s="81" t="s">
        <v>283</v>
      </c>
      <c r="C705" s="81" t="s">
        <v>447</v>
      </c>
      <c r="D705" s="139" t="s">
        <v>1061</v>
      </c>
      <c r="E705" s="134"/>
      <c r="F705" s="134"/>
      <c r="G705" s="140"/>
      <c r="H705" s="81" t="s">
        <v>1540</v>
      </c>
      <c r="I705" s="87">
        <v>6633.18</v>
      </c>
      <c r="J705" s="87">
        <v>0</v>
      </c>
      <c r="K705" s="87">
        <f>I705*AO705</f>
        <v>0</v>
      </c>
      <c r="L705" s="87">
        <f>I705*AP705</f>
        <v>0</v>
      </c>
      <c r="M705" s="87">
        <f>I705*J705</f>
        <v>0</v>
      </c>
      <c r="N705" s="77" t="s">
        <v>1556</v>
      </c>
      <c r="O705" s="67"/>
      <c r="Z705" s="28">
        <f>IF(AQ705="5",BJ705,0)</f>
        <v>0</v>
      </c>
      <c r="AB705" s="28">
        <f>IF(AQ705="1",BH705,0)</f>
        <v>0</v>
      </c>
      <c r="AC705" s="28">
        <f>IF(AQ705="1",BI705,0)</f>
        <v>0</v>
      </c>
      <c r="AD705" s="28">
        <f>IF(AQ705="7",BH705,0)</f>
        <v>0</v>
      </c>
      <c r="AE705" s="28">
        <f>IF(AQ705="7",BI705,0)</f>
        <v>0</v>
      </c>
      <c r="AF705" s="28">
        <f>IF(AQ705="2",BH705,0)</f>
        <v>0</v>
      </c>
      <c r="AG705" s="28">
        <f>IF(AQ705="2",BI705,0)</f>
        <v>0</v>
      </c>
      <c r="AH705" s="28">
        <f>IF(AQ705="0",BJ705,0)</f>
        <v>0</v>
      </c>
      <c r="AI705" s="27" t="s">
        <v>283</v>
      </c>
      <c r="AJ705" s="18">
        <f>IF(AN705=0,M705,0)</f>
        <v>0</v>
      </c>
      <c r="AK705" s="18">
        <f>IF(AN705=15,M705,0)</f>
        <v>0</v>
      </c>
      <c r="AL705" s="18">
        <f>IF(AN705=21,M705,0)</f>
        <v>0</v>
      </c>
      <c r="AN705" s="28">
        <v>15</v>
      </c>
      <c r="AO705" s="28">
        <f>J705*0</f>
        <v>0</v>
      </c>
      <c r="AP705" s="28">
        <f>J705*(1-0)</f>
        <v>0</v>
      </c>
      <c r="AQ705" s="29" t="s">
        <v>11</v>
      </c>
      <c r="AV705" s="28">
        <f>AW705+AX705</f>
        <v>0</v>
      </c>
      <c r="AW705" s="28">
        <f>I705*AO705</f>
        <v>0</v>
      </c>
      <c r="AX705" s="28">
        <f>I705*AP705</f>
        <v>0</v>
      </c>
      <c r="AY705" s="31" t="s">
        <v>1594</v>
      </c>
      <c r="AZ705" s="31" t="s">
        <v>1622</v>
      </c>
      <c r="BA705" s="27" t="s">
        <v>1628</v>
      </c>
      <c r="BC705" s="28">
        <f>AW705+AX705</f>
        <v>0</v>
      </c>
      <c r="BD705" s="28">
        <f>J705/(100-BE705)*100</f>
        <v>0</v>
      </c>
      <c r="BE705" s="28">
        <v>0</v>
      </c>
      <c r="BF705" s="28">
        <f>705</f>
        <v>705</v>
      </c>
      <c r="BH705" s="18">
        <f>I705*AO705</f>
        <v>0</v>
      </c>
      <c r="BI705" s="18">
        <f>I705*AP705</f>
        <v>0</v>
      </c>
      <c r="BJ705" s="18">
        <f>I705*J705</f>
        <v>0</v>
      </c>
      <c r="BK705" s="18" t="s">
        <v>1634</v>
      </c>
      <c r="BL705" s="28">
        <v>765</v>
      </c>
    </row>
    <row r="706" spans="1:15" ht="12.75">
      <c r="A706" s="89"/>
      <c r="B706" s="90"/>
      <c r="C706" s="90"/>
      <c r="D706" s="84" t="s">
        <v>1062</v>
      </c>
      <c r="G706" s="91"/>
      <c r="H706" s="90"/>
      <c r="I706" s="92">
        <v>6633.18</v>
      </c>
      <c r="J706" s="90"/>
      <c r="K706" s="90"/>
      <c r="L706" s="90"/>
      <c r="M706" s="90"/>
      <c r="N706" s="79"/>
      <c r="O706" s="67"/>
    </row>
    <row r="707" spans="1:47" ht="12.75">
      <c r="A707" s="72"/>
      <c r="B707" s="73" t="s">
        <v>283</v>
      </c>
      <c r="C707" s="73" t="s">
        <v>448</v>
      </c>
      <c r="D707" s="130" t="s">
        <v>1063</v>
      </c>
      <c r="E707" s="131"/>
      <c r="F707" s="131"/>
      <c r="G707" s="132"/>
      <c r="H707" s="72" t="s">
        <v>6</v>
      </c>
      <c r="I707" s="72" t="s">
        <v>6</v>
      </c>
      <c r="J707" s="72" t="s">
        <v>6</v>
      </c>
      <c r="K707" s="76">
        <f>SUM(K708:K814)</f>
        <v>0</v>
      </c>
      <c r="L707" s="76">
        <f>SUM(L708:L814)</f>
        <v>0</v>
      </c>
      <c r="M707" s="76">
        <f>SUM(M708:M814)</f>
        <v>0</v>
      </c>
      <c r="N707" s="71"/>
      <c r="O707" s="67"/>
      <c r="AI707" s="27" t="s">
        <v>283</v>
      </c>
      <c r="AS707" s="33">
        <f>SUM(AJ708:AJ814)</f>
        <v>0</v>
      </c>
      <c r="AT707" s="33">
        <f>SUM(AK708:AK814)</f>
        <v>0</v>
      </c>
      <c r="AU707" s="33">
        <f>SUM(AL708:AL814)</f>
        <v>0</v>
      </c>
    </row>
    <row r="708" spans="1:64" ht="12.75">
      <c r="A708" s="81" t="s">
        <v>157</v>
      </c>
      <c r="B708" s="81" t="s">
        <v>283</v>
      </c>
      <c r="C708" s="81" t="s">
        <v>449</v>
      </c>
      <c r="D708" s="139" t="s">
        <v>1064</v>
      </c>
      <c r="E708" s="134"/>
      <c r="F708" s="134"/>
      <c r="G708" s="140"/>
      <c r="H708" s="81" t="s">
        <v>1538</v>
      </c>
      <c r="I708" s="87">
        <v>22</v>
      </c>
      <c r="J708" s="87">
        <v>0</v>
      </c>
      <c r="K708" s="87">
        <f>I708*AO708</f>
        <v>0</v>
      </c>
      <c r="L708" s="87">
        <f>I708*AP708</f>
        <v>0</v>
      </c>
      <c r="M708" s="87">
        <f>I708*J708</f>
        <v>0</v>
      </c>
      <c r="N708" s="77" t="s">
        <v>1554</v>
      </c>
      <c r="O708" s="67"/>
      <c r="Z708" s="28">
        <f>IF(AQ708="5",BJ708,0)</f>
        <v>0</v>
      </c>
      <c r="AB708" s="28">
        <f>IF(AQ708="1",BH708,0)</f>
        <v>0</v>
      </c>
      <c r="AC708" s="28">
        <f>IF(AQ708="1",BI708,0)</f>
        <v>0</v>
      </c>
      <c r="AD708" s="28">
        <f>IF(AQ708="7",BH708,0)</f>
        <v>0</v>
      </c>
      <c r="AE708" s="28">
        <f>IF(AQ708="7",BI708,0)</f>
        <v>0</v>
      </c>
      <c r="AF708" s="28">
        <f>IF(AQ708="2",BH708,0)</f>
        <v>0</v>
      </c>
      <c r="AG708" s="28">
        <f>IF(AQ708="2",BI708,0)</f>
        <v>0</v>
      </c>
      <c r="AH708" s="28">
        <f>IF(AQ708="0",BJ708,0)</f>
        <v>0</v>
      </c>
      <c r="AI708" s="27" t="s">
        <v>283</v>
      </c>
      <c r="AJ708" s="18">
        <f>IF(AN708=0,M708,0)</f>
        <v>0</v>
      </c>
      <c r="AK708" s="18">
        <f>IF(AN708=15,M708,0)</f>
        <v>0</v>
      </c>
      <c r="AL708" s="18">
        <f>IF(AN708=21,M708,0)</f>
        <v>0</v>
      </c>
      <c r="AN708" s="28">
        <v>15</v>
      </c>
      <c r="AO708" s="28">
        <f>J708*1</f>
        <v>0</v>
      </c>
      <c r="AP708" s="28">
        <f>J708*(1-1)</f>
        <v>0</v>
      </c>
      <c r="AQ708" s="29" t="s">
        <v>13</v>
      </c>
      <c r="AV708" s="28">
        <f>AW708+AX708</f>
        <v>0</v>
      </c>
      <c r="AW708" s="28">
        <f>I708*AO708</f>
        <v>0</v>
      </c>
      <c r="AX708" s="28">
        <f>I708*AP708</f>
        <v>0</v>
      </c>
      <c r="AY708" s="31" t="s">
        <v>1595</v>
      </c>
      <c r="AZ708" s="31" t="s">
        <v>1622</v>
      </c>
      <c r="BA708" s="27" t="s">
        <v>1628</v>
      </c>
      <c r="BC708" s="28">
        <f>AW708+AX708</f>
        <v>0</v>
      </c>
      <c r="BD708" s="28">
        <f>J708/(100-BE708)*100</f>
        <v>0</v>
      </c>
      <c r="BE708" s="28">
        <v>0</v>
      </c>
      <c r="BF708" s="28">
        <f>708</f>
        <v>708</v>
      </c>
      <c r="BH708" s="18">
        <f>I708*AO708</f>
        <v>0</v>
      </c>
      <c r="BI708" s="18">
        <f>I708*AP708</f>
        <v>0</v>
      </c>
      <c r="BJ708" s="18">
        <f>I708*J708</f>
        <v>0</v>
      </c>
      <c r="BK708" s="18" t="s">
        <v>1634</v>
      </c>
      <c r="BL708" s="28">
        <v>766</v>
      </c>
    </row>
    <row r="709" spans="1:15" ht="12.75">
      <c r="A709" s="82"/>
      <c r="B709" s="83"/>
      <c r="C709" s="83"/>
      <c r="D709" s="85" t="s">
        <v>28</v>
      </c>
      <c r="G709" s="86" t="s">
        <v>449</v>
      </c>
      <c r="H709" s="83"/>
      <c r="I709" s="88">
        <v>22</v>
      </c>
      <c r="J709" s="83"/>
      <c r="K709" s="83"/>
      <c r="L709" s="83"/>
      <c r="M709" s="83"/>
      <c r="N709" s="80"/>
      <c r="O709" s="67"/>
    </row>
    <row r="710" spans="1:15" ht="12.75">
      <c r="A710" s="3"/>
      <c r="C710" s="12" t="s">
        <v>296</v>
      </c>
      <c r="D710" s="142" t="s">
        <v>1065</v>
      </c>
      <c r="E710" s="143"/>
      <c r="F710" s="143"/>
      <c r="G710" s="143"/>
      <c r="H710" s="143"/>
      <c r="I710" s="143"/>
      <c r="J710" s="143"/>
      <c r="K710" s="143"/>
      <c r="L710" s="143"/>
      <c r="M710" s="143"/>
      <c r="N710" s="144"/>
      <c r="O710" s="3"/>
    </row>
    <row r="711" spans="1:64" ht="12.75">
      <c r="A711" s="81" t="s">
        <v>158</v>
      </c>
      <c r="B711" s="81" t="s">
        <v>283</v>
      </c>
      <c r="C711" s="81" t="s">
        <v>450</v>
      </c>
      <c r="D711" s="139" t="s">
        <v>1064</v>
      </c>
      <c r="E711" s="134"/>
      <c r="F711" s="134"/>
      <c r="G711" s="140"/>
      <c r="H711" s="81" t="s">
        <v>1538</v>
      </c>
      <c r="I711" s="87">
        <v>8</v>
      </c>
      <c r="J711" s="87">
        <v>0</v>
      </c>
      <c r="K711" s="87">
        <f>I711*AO711</f>
        <v>0</v>
      </c>
      <c r="L711" s="87">
        <f>I711*AP711</f>
        <v>0</v>
      </c>
      <c r="M711" s="87">
        <f>I711*J711</f>
        <v>0</v>
      </c>
      <c r="N711" s="77" t="s">
        <v>1554</v>
      </c>
      <c r="O711" s="67"/>
      <c r="Z711" s="28">
        <f>IF(AQ711="5",BJ711,0)</f>
        <v>0</v>
      </c>
      <c r="AB711" s="28">
        <f>IF(AQ711="1",BH711,0)</f>
        <v>0</v>
      </c>
      <c r="AC711" s="28">
        <f>IF(AQ711="1",BI711,0)</f>
        <v>0</v>
      </c>
      <c r="AD711" s="28">
        <f>IF(AQ711="7",BH711,0)</f>
        <v>0</v>
      </c>
      <c r="AE711" s="28">
        <f>IF(AQ711="7",BI711,0)</f>
        <v>0</v>
      </c>
      <c r="AF711" s="28">
        <f>IF(AQ711="2",BH711,0)</f>
        <v>0</v>
      </c>
      <c r="AG711" s="28">
        <f>IF(AQ711="2",BI711,0)</f>
        <v>0</v>
      </c>
      <c r="AH711" s="28">
        <f>IF(AQ711="0",BJ711,0)</f>
        <v>0</v>
      </c>
      <c r="AI711" s="27" t="s">
        <v>283</v>
      </c>
      <c r="AJ711" s="18">
        <f>IF(AN711=0,M711,0)</f>
        <v>0</v>
      </c>
      <c r="AK711" s="18">
        <f>IF(AN711=15,M711,0)</f>
        <v>0</v>
      </c>
      <c r="AL711" s="18">
        <f>IF(AN711=21,M711,0)</f>
        <v>0</v>
      </c>
      <c r="AN711" s="28">
        <v>15</v>
      </c>
      <c r="AO711" s="28">
        <f>J711*1</f>
        <v>0</v>
      </c>
      <c r="AP711" s="28">
        <f>J711*(1-1)</f>
        <v>0</v>
      </c>
      <c r="AQ711" s="29" t="s">
        <v>13</v>
      </c>
      <c r="AV711" s="28">
        <f>AW711+AX711</f>
        <v>0</v>
      </c>
      <c r="AW711" s="28">
        <f>I711*AO711</f>
        <v>0</v>
      </c>
      <c r="AX711" s="28">
        <f>I711*AP711</f>
        <v>0</v>
      </c>
      <c r="AY711" s="31" t="s">
        <v>1595</v>
      </c>
      <c r="AZ711" s="31" t="s">
        <v>1622</v>
      </c>
      <c r="BA711" s="27" t="s">
        <v>1628</v>
      </c>
      <c r="BC711" s="28">
        <f>AW711+AX711</f>
        <v>0</v>
      </c>
      <c r="BD711" s="28">
        <f>J711/(100-BE711)*100</f>
        <v>0</v>
      </c>
      <c r="BE711" s="28">
        <v>0</v>
      </c>
      <c r="BF711" s="28">
        <f>711</f>
        <v>711</v>
      </c>
      <c r="BH711" s="18">
        <f>I711*AO711</f>
        <v>0</v>
      </c>
      <c r="BI711" s="18">
        <f>I711*AP711</f>
        <v>0</v>
      </c>
      <c r="BJ711" s="18">
        <f>I711*J711</f>
        <v>0</v>
      </c>
      <c r="BK711" s="18" t="s">
        <v>1634</v>
      </c>
      <c r="BL711" s="28">
        <v>766</v>
      </c>
    </row>
    <row r="712" spans="1:15" ht="12.75">
      <c r="A712" s="82"/>
      <c r="B712" s="83"/>
      <c r="C712" s="83"/>
      <c r="D712" s="85" t="s">
        <v>14</v>
      </c>
      <c r="G712" s="86" t="s">
        <v>450</v>
      </c>
      <c r="H712" s="83"/>
      <c r="I712" s="88">
        <v>8</v>
      </c>
      <c r="J712" s="83"/>
      <c r="K712" s="83"/>
      <c r="L712" s="83"/>
      <c r="M712" s="83"/>
      <c r="N712" s="80"/>
      <c r="O712" s="67"/>
    </row>
    <row r="713" spans="1:15" ht="12.75">
      <c r="A713" s="3"/>
      <c r="C713" s="12" t="s">
        <v>296</v>
      </c>
      <c r="D713" s="142" t="s">
        <v>1065</v>
      </c>
      <c r="E713" s="143"/>
      <c r="F713" s="143"/>
      <c r="G713" s="143"/>
      <c r="H713" s="143"/>
      <c r="I713" s="143"/>
      <c r="J713" s="143"/>
      <c r="K713" s="143"/>
      <c r="L713" s="143"/>
      <c r="M713" s="143"/>
      <c r="N713" s="144"/>
      <c r="O713" s="3"/>
    </row>
    <row r="714" spans="1:64" ht="12.75">
      <c r="A714" s="81" t="s">
        <v>159</v>
      </c>
      <c r="B714" s="81" t="s">
        <v>283</v>
      </c>
      <c r="C714" s="81" t="s">
        <v>451</v>
      </c>
      <c r="D714" s="139" t="s">
        <v>1064</v>
      </c>
      <c r="E714" s="134"/>
      <c r="F714" s="134"/>
      <c r="G714" s="140"/>
      <c r="H714" s="81" t="s">
        <v>1538</v>
      </c>
      <c r="I714" s="87">
        <v>1</v>
      </c>
      <c r="J714" s="87">
        <v>0</v>
      </c>
      <c r="K714" s="87">
        <f>I714*AO714</f>
        <v>0</v>
      </c>
      <c r="L714" s="87">
        <f>I714*AP714</f>
        <v>0</v>
      </c>
      <c r="M714" s="87">
        <f>I714*J714</f>
        <v>0</v>
      </c>
      <c r="N714" s="77" t="s">
        <v>1554</v>
      </c>
      <c r="O714" s="67"/>
      <c r="Z714" s="28">
        <f>IF(AQ714="5",BJ714,0)</f>
        <v>0</v>
      </c>
      <c r="AB714" s="28">
        <f>IF(AQ714="1",BH714,0)</f>
        <v>0</v>
      </c>
      <c r="AC714" s="28">
        <f>IF(AQ714="1",BI714,0)</f>
        <v>0</v>
      </c>
      <c r="AD714" s="28">
        <f>IF(AQ714="7",BH714,0)</f>
        <v>0</v>
      </c>
      <c r="AE714" s="28">
        <f>IF(AQ714="7",BI714,0)</f>
        <v>0</v>
      </c>
      <c r="AF714" s="28">
        <f>IF(AQ714="2",BH714,0)</f>
        <v>0</v>
      </c>
      <c r="AG714" s="28">
        <f>IF(AQ714="2",BI714,0)</f>
        <v>0</v>
      </c>
      <c r="AH714" s="28">
        <f>IF(AQ714="0",BJ714,0)</f>
        <v>0</v>
      </c>
      <c r="AI714" s="27" t="s">
        <v>283</v>
      </c>
      <c r="AJ714" s="18">
        <f>IF(AN714=0,M714,0)</f>
        <v>0</v>
      </c>
      <c r="AK714" s="18">
        <f>IF(AN714=15,M714,0)</f>
        <v>0</v>
      </c>
      <c r="AL714" s="18">
        <f>IF(AN714=21,M714,0)</f>
        <v>0</v>
      </c>
      <c r="AN714" s="28">
        <v>15</v>
      </c>
      <c r="AO714" s="28">
        <f>J714*1</f>
        <v>0</v>
      </c>
      <c r="AP714" s="28">
        <f>J714*(1-1)</f>
        <v>0</v>
      </c>
      <c r="AQ714" s="29" t="s">
        <v>13</v>
      </c>
      <c r="AV714" s="28">
        <f>AW714+AX714</f>
        <v>0</v>
      </c>
      <c r="AW714" s="28">
        <f>I714*AO714</f>
        <v>0</v>
      </c>
      <c r="AX714" s="28">
        <f>I714*AP714</f>
        <v>0</v>
      </c>
      <c r="AY714" s="31" t="s">
        <v>1595</v>
      </c>
      <c r="AZ714" s="31" t="s">
        <v>1622</v>
      </c>
      <c r="BA714" s="27" t="s">
        <v>1628</v>
      </c>
      <c r="BC714" s="28">
        <f>AW714+AX714</f>
        <v>0</v>
      </c>
      <c r="BD714" s="28">
        <f>J714/(100-BE714)*100</f>
        <v>0</v>
      </c>
      <c r="BE714" s="28">
        <v>0</v>
      </c>
      <c r="BF714" s="28">
        <f>714</f>
        <v>714</v>
      </c>
      <c r="BH714" s="18">
        <f>I714*AO714</f>
        <v>0</v>
      </c>
      <c r="BI714" s="18">
        <f>I714*AP714</f>
        <v>0</v>
      </c>
      <c r="BJ714" s="18">
        <f>I714*J714</f>
        <v>0</v>
      </c>
      <c r="BK714" s="18" t="s">
        <v>1634</v>
      </c>
      <c r="BL714" s="28">
        <v>766</v>
      </c>
    </row>
    <row r="715" spans="1:15" ht="12.75">
      <c r="A715" s="82"/>
      <c r="B715" s="83"/>
      <c r="C715" s="83"/>
      <c r="D715" s="85" t="s">
        <v>7</v>
      </c>
      <c r="G715" s="86" t="s">
        <v>451</v>
      </c>
      <c r="H715" s="83"/>
      <c r="I715" s="88">
        <v>1</v>
      </c>
      <c r="J715" s="83"/>
      <c r="K715" s="83"/>
      <c r="L715" s="83"/>
      <c r="M715" s="83"/>
      <c r="N715" s="80"/>
      <c r="O715" s="67"/>
    </row>
    <row r="716" spans="1:15" ht="12.75">
      <c r="A716" s="3"/>
      <c r="C716" s="12" t="s">
        <v>296</v>
      </c>
      <c r="D716" s="142" t="s">
        <v>1065</v>
      </c>
      <c r="E716" s="143"/>
      <c r="F716" s="143"/>
      <c r="G716" s="143"/>
      <c r="H716" s="143"/>
      <c r="I716" s="143"/>
      <c r="J716" s="143"/>
      <c r="K716" s="143"/>
      <c r="L716" s="143"/>
      <c r="M716" s="143"/>
      <c r="N716" s="144"/>
      <c r="O716" s="3"/>
    </row>
    <row r="717" spans="1:64" ht="12.75">
      <c r="A717" s="81" t="s">
        <v>160</v>
      </c>
      <c r="B717" s="81" t="s">
        <v>283</v>
      </c>
      <c r="C717" s="81" t="s">
        <v>452</v>
      </c>
      <c r="D717" s="139" t="s">
        <v>1064</v>
      </c>
      <c r="E717" s="134"/>
      <c r="F717" s="134"/>
      <c r="G717" s="140"/>
      <c r="H717" s="81" t="s">
        <v>1538</v>
      </c>
      <c r="I717" s="87">
        <v>1</v>
      </c>
      <c r="J717" s="87">
        <v>0</v>
      </c>
      <c r="K717" s="87">
        <f>I717*AO717</f>
        <v>0</v>
      </c>
      <c r="L717" s="87">
        <f>I717*AP717</f>
        <v>0</v>
      </c>
      <c r="M717" s="87">
        <f>I717*J717</f>
        <v>0</v>
      </c>
      <c r="N717" s="77" t="s">
        <v>1554</v>
      </c>
      <c r="O717" s="67"/>
      <c r="Z717" s="28">
        <f>IF(AQ717="5",BJ717,0)</f>
        <v>0</v>
      </c>
      <c r="AB717" s="28">
        <f>IF(AQ717="1",BH717,0)</f>
        <v>0</v>
      </c>
      <c r="AC717" s="28">
        <f>IF(AQ717="1",BI717,0)</f>
        <v>0</v>
      </c>
      <c r="AD717" s="28">
        <f>IF(AQ717="7",BH717,0)</f>
        <v>0</v>
      </c>
      <c r="AE717" s="28">
        <f>IF(AQ717="7",BI717,0)</f>
        <v>0</v>
      </c>
      <c r="AF717" s="28">
        <f>IF(AQ717="2",BH717,0)</f>
        <v>0</v>
      </c>
      <c r="AG717" s="28">
        <f>IF(AQ717="2",BI717,0)</f>
        <v>0</v>
      </c>
      <c r="AH717" s="28">
        <f>IF(AQ717="0",BJ717,0)</f>
        <v>0</v>
      </c>
      <c r="AI717" s="27" t="s">
        <v>283</v>
      </c>
      <c r="AJ717" s="18">
        <f>IF(AN717=0,M717,0)</f>
        <v>0</v>
      </c>
      <c r="AK717" s="18">
        <f>IF(AN717=15,M717,0)</f>
        <v>0</v>
      </c>
      <c r="AL717" s="18">
        <f>IF(AN717=21,M717,0)</f>
        <v>0</v>
      </c>
      <c r="AN717" s="28">
        <v>15</v>
      </c>
      <c r="AO717" s="28">
        <f>J717*1</f>
        <v>0</v>
      </c>
      <c r="AP717" s="28">
        <f>J717*(1-1)</f>
        <v>0</v>
      </c>
      <c r="AQ717" s="29" t="s">
        <v>13</v>
      </c>
      <c r="AV717" s="28">
        <f>AW717+AX717</f>
        <v>0</v>
      </c>
      <c r="AW717" s="28">
        <f>I717*AO717</f>
        <v>0</v>
      </c>
      <c r="AX717" s="28">
        <f>I717*AP717</f>
        <v>0</v>
      </c>
      <c r="AY717" s="31" t="s">
        <v>1595</v>
      </c>
      <c r="AZ717" s="31" t="s">
        <v>1622</v>
      </c>
      <c r="BA717" s="27" t="s">
        <v>1628</v>
      </c>
      <c r="BC717" s="28">
        <f>AW717+AX717</f>
        <v>0</v>
      </c>
      <c r="BD717" s="28">
        <f>J717/(100-BE717)*100</f>
        <v>0</v>
      </c>
      <c r="BE717" s="28">
        <v>0</v>
      </c>
      <c r="BF717" s="28">
        <f>717</f>
        <v>717</v>
      </c>
      <c r="BH717" s="18">
        <f>I717*AO717</f>
        <v>0</v>
      </c>
      <c r="BI717" s="18">
        <f>I717*AP717</f>
        <v>0</v>
      </c>
      <c r="BJ717" s="18">
        <f>I717*J717</f>
        <v>0</v>
      </c>
      <c r="BK717" s="18" t="s">
        <v>1634</v>
      </c>
      <c r="BL717" s="28">
        <v>766</v>
      </c>
    </row>
    <row r="718" spans="1:15" ht="12.75">
      <c r="A718" s="82"/>
      <c r="B718" s="83"/>
      <c r="C718" s="83"/>
      <c r="D718" s="85" t="s">
        <v>7</v>
      </c>
      <c r="G718" s="86" t="s">
        <v>452</v>
      </c>
      <c r="H718" s="83"/>
      <c r="I718" s="88">
        <v>1</v>
      </c>
      <c r="J718" s="83"/>
      <c r="K718" s="83"/>
      <c r="L718" s="83"/>
      <c r="M718" s="83"/>
      <c r="N718" s="80"/>
      <c r="O718" s="67"/>
    </row>
    <row r="719" spans="1:15" ht="12.75">
      <c r="A719" s="3"/>
      <c r="C719" s="12" t="s">
        <v>296</v>
      </c>
      <c r="D719" s="142" t="s">
        <v>1065</v>
      </c>
      <c r="E719" s="143"/>
      <c r="F719" s="143"/>
      <c r="G719" s="143"/>
      <c r="H719" s="143"/>
      <c r="I719" s="143"/>
      <c r="J719" s="143"/>
      <c r="K719" s="143"/>
      <c r="L719" s="143"/>
      <c r="M719" s="143"/>
      <c r="N719" s="144"/>
      <c r="O719" s="3"/>
    </row>
    <row r="720" spans="1:64" ht="12.75">
      <c r="A720" s="81" t="s">
        <v>161</v>
      </c>
      <c r="B720" s="81" t="s">
        <v>283</v>
      </c>
      <c r="C720" s="81" t="s">
        <v>453</v>
      </c>
      <c r="D720" s="139" t="s">
        <v>1064</v>
      </c>
      <c r="E720" s="134"/>
      <c r="F720" s="134"/>
      <c r="G720" s="140"/>
      <c r="H720" s="81" t="s">
        <v>1538</v>
      </c>
      <c r="I720" s="87">
        <v>2</v>
      </c>
      <c r="J720" s="87">
        <v>0</v>
      </c>
      <c r="K720" s="87">
        <f>I720*AO720</f>
        <v>0</v>
      </c>
      <c r="L720" s="87">
        <f>I720*AP720</f>
        <v>0</v>
      </c>
      <c r="M720" s="87">
        <f>I720*J720</f>
        <v>0</v>
      </c>
      <c r="N720" s="77" t="s">
        <v>1554</v>
      </c>
      <c r="O720" s="67"/>
      <c r="Z720" s="28">
        <f>IF(AQ720="5",BJ720,0)</f>
        <v>0</v>
      </c>
      <c r="AB720" s="28">
        <f>IF(AQ720="1",BH720,0)</f>
        <v>0</v>
      </c>
      <c r="AC720" s="28">
        <f>IF(AQ720="1",BI720,0)</f>
        <v>0</v>
      </c>
      <c r="AD720" s="28">
        <f>IF(AQ720="7",BH720,0)</f>
        <v>0</v>
      </c>
      <c r="AE720" s="28">
        <f>IF(AQ720="7",BI720,0)</f>
        <v>0</v>
      </c>
      <c r="AF720" s="28">
        <f>IF(AQ720="2",BH720,0)</f>
        <v>0</v>
      </c>
      <c r="AG720" s="28">
        <f>IF(AQ720="2",BI720,0)</f>
        <v>0</v>
      </c>
      <c r="AH720" s="28">
        <f>IF(AQ720="0",BJ720,0)</f>
        <v>0</v>
      </c>
      <c r="AI720" s="27" t="s">
        <v>283</v>
      </c>
      <c r="AJ720" s="18">
        <f>IF(AN720=0,M720,0)</f>
        <v>0</v>
      </c>
      <c r="AK720" s="18">
        <f>IF(AN720=15,M720,0)</f>
        <v>0</v>
      </c>
      <c r="AL720" s="18">
        <f>IF(AN720=21,M720,0)</f>
        <v>0</v>
      </c>
      <c r="AN720" s="28">
        <v>15</v>
      </c>
      <c r="AO720" s="28">
        <f>J720*1</f>
        <v>0</v>
      </c>
      <c r="AP720" s="28">
        <f>J720*(1-1)</f>
        <v>0</v>
      </c>
      <c r="AQ720" s="29" t="s">
        <v>13</v>
      </c>
      <c r="AV720" s="28">
        <f>AW720+AX720</f>
        <v>0</v>
      </c>
      <c r="AW720" s="28">
        <f>I720*AO720</f>
        <v>0</v>
      </c>
      <c r="AX720" s="28">
        <f>I720*AP720</f>
        <v>0</v>
      </c>
      <c r="AY720" s="31" t="s">
        <v>1595</v>
      </c>
      <c r="AZ720" s="31" t="s">
        <v>1622</v>
      </c>
      <c r="BA720" s="27" t="s">
        <v>1628</v>
      </c>
      <c r="BC720" s="28">
        <f>AW720+AX720</f>
        <v>0</v>
      </c>
      <c r="BD720" s="28">
        <f>J720/(100-BE720)*100</f>
        <v>0</v>
      </c>
      <c r="BE720" s="28">
        <v>0</v>
      </c>
      <c r="BF720" s="28">
        <f>720</f>
        <v>720</v>
      </c>
      <c r="BH720" s="18">
        <f>I720*AO720</f>
        <v>0</v>
      </c>
      <c r="BI720" s="18">
        <f>I720*AP720</f>
        <v>0</v>
      </c>
      <c r="BJ720" s="18">
        <f>I720*J720</f>
        <v>0</v>
      </c>
      <c r="BK720" s="18" t="s">
        <v>1634</v>
      </c>
      <c r="BL720" s="28">
        <v>766</v>
      </c>
    </row>
    <row r="721" spans="1:15" ht="12.75">
      <c r="A721" s="82"/>
      <c r="B721" s="83"/>
      <c r="C721" s="83"/>
      <c r="D721" s="85" t="s">
        <v>8</v>
      </c>
      <c r="G721" s="86" t="s">
        <v>453</v>
      </c>
      <c r="H721" s="83"/>
      <c r="I721" s="88">
        <v>2</v>
      </c>
      <c r="J721" s="83"/>
      <c r="K721" s="83"/>
      <c r="L721" s="83"/>
      <c r="M721" s="83"/>
      <c r="N721" s="80"/>
      <c r="O721" s="67"/>
    </row>
    <row r="722" spans="1:15" ht="12.75">
      <c r="A722" s="3"/>
      <c r="C722" s="12" t="s">
        <v>296</v>
      </c>
      <c r="D722" s="142" t="s">
        <v>1065</v>
      </c>
      <c r="E722" s="143"/>
      <c r="F722" s="143"/>
      <c r="G722" s="143"/>
      <c r="H722" s="143"/>
      <c r="I722" s="143"/>
      <c r="J722" s="143"/>
      <c r="K722" s="143"/>
      <c r="L722" s="143"/>
      <c r="M722" s="143"/>
      <c r="N722" s="144"/>
      <c r="O722" s="3"/>
    </row>
    <row r="723" spans="1:64" ht="12.75">
      <c r="A723" s="81" t="s">
        <v>162</v>
      </c>
      <c r="B723" s="81" t="s">
        <v>283</v>
      </c>
      <c r="C723" s="81" t="s">
        <v>454</v>
      </c>
      <c r="D723" s="139" t="s">
        <v>1064</v>
      </c>
      <c r="E723" s="134"/>
      <c r="F723" s="134"/>
      <c r="G723" s="140"/>
      <c r="H723" s="81" t="s">
        <v>1538</v>
      </c>
      <c r="I723" s="87">
        <v>1</v>
      </c>
      <c r="J723" s="87">
        <v>0</v>
      </c>
      <c r="K723" s="87">
        <f>I723*AO723</f>
        <v>0</v>
      </c>
      <c r="L723" s="87">
        <f>I723*AP723</f>
        <v>0</v>
      </c>
      <c r="M723" s="87">
        <f>I723*J723</f>
        <v>0</v>
      </c>
      <c r="N723" s="77" t="s">
        <v>1554</v>
      </c>
      <c r="O723" s="67"/>
      <c r="Z723" s="28">
        <f>IF(AQ723="5",BJ723,0)</f>
        <v>0</v>
      </c>
      <c r="AB723" s="28">
        <f>IF(AQ723="1",BH723,0)</f>
        <v>0</v>
      </c>
      <c r="AC723" s="28">
        <f>IF(AQ723="1",BI723,0)</f>
        <v>0</v>
      </c>
      <c r="AD723" s="28">
        <f>IF(AQ723="7",BH723,0)</f>
        <v>0</v>
      </c>
      <c r="AE723" s="28">
        <f>IF(AQ723="7",BI723,0)</f>
        <v>0</v>
      </c>
      <c r="AF723" s="28">
        <f>IF(AQ723="2",BH723,0)</f>
        <v>0</v>
      </c>
      <c r="AG723" s="28">
        <f>IF(AQ723="2",BI723,0)</f>
        <v>0</v>
      </c>
      <c r="AH723" s="28">
        <f>IF(AQ723="0",BJ723,0)</f>
        <v>0</v>
      </c>
      <c r="AI723" s="27" t="s">
        <v>283</v>
      </c>
      <c r="AJ723" s="18">
        <f>IF(AN723=0,M723,0)</f>
        <v>0</v>
      </c>
      <c r="AK723" s="18">
        <f>IF(AN723=15,M723,0)</f>
        <v>0</v>
      </c>
      <c r="AL723" s="18">
        <f>IF(AN723=21,M723,0)</f>
        <v>0</v>
      </c>
      <c r="AN723" s="28">
        <v>15</v>
      </c>
      <c r="AO723" s="28">
        <f>J723*1</f>
        <v>0</v>
      </c>
      <c r="AP723" s="28">
        <f>J723*(1-1)</f>
        <v>0</v>
      </c>
      <c r="AQ723" s="29" t="s">
        <v>13</v>
      </c>
      <c r="AV723" s="28">
        <f>AW723+AX723</f>
        <v>0</v>
      </c>
      <c r="AW723" s="28">
        <f>I723*AO723</f>
        <v>0</v>
      </c>
      <c r="AX723" s="28">
        <f>I723*AP723</f>
        <v>0</v>
      </c>
      <c r="AY723" s="31" t="s">
        <v>1595</v>
      </c>
      <c r="AZ723" s="31" t="s">
        <v>1622</v>
      </c>
      <c r="BA723" s="27" t="s">
        <v>1628</v>
      </c>
      <c r="BC723" s="28">
        <f>AW723+AX723</f>
        <v>0</v>
      </c>
      <c r="BD723" s="28">
        <f>J723/(100-BE723)*100</f>
        <v>0</v>
      </c>
      <c r="BE723" s="28">
        <v>0</v>
      </c>
      <c r="BF723" s="28">
        <f>723</f>
        <v>723</v>
      </c>
      <c r="BH723" s="18">
        <f>I723*AO723</f>
        <v>0</v>
      </c>
      <c r="BI723" s="18">
        <f>I723*AP723</f>
        <v>0</v>
      </c>
      <c r="BJ723" s="18">
        <f>I723*J723</f>
        <v>0</v>
      </c>
      <c r="BK723" s="18" t="s">
        <v>1634</v>
      </c>
      <c r="BL723" s="28">
        <v>766</v>
      </c>
    </row>
    <row r="724" spans="1:15" ht="12.75">
      <c r="A724" s="82"/>
      <c r="B724" s="83"/>
      <c r="C724" s="83"/>
      <c r="D724" s="85" t="s">
        <v>7</v>
      </c>
      <c r="G724" s="86" t="s">
        <v>454</v>
      </c>
      <c r="H724" s="83"/>
      <c r="I724" s="88">
        <v>1</v>
      </c>
      <c r="J724" s="83"/>
      <c r="K724" s="83"/>
      <c r="L724" s="83"/>
      <c r="M724" s="83"/>
      <c r="N724" s="80"/>
      <c r="O724" s="67"/>
    </row>
    <row r="725" spans="1:15" ht="12.75">
      <c r="A725" s="3"/>
      <c r="C725" s="12" t="s">
        <v>296</v>
      </c>
      <c r="D725" s="142" t="s">
        <v>1065</v>
      </c>
      <c r="E725" s="143"/>
      <c r="F725" s="143"/>
      <c r="G725" s="143"/>
      <c r="H725" s="143"/>
      <c r="I725" s="143"/>
      <c r="J725" s="143"/>
      <c r="K725" s="143"/>
      <c r="L725" s="143"/>
      <c r="M725" s="143"/>
      <c r="N725" s="144"/>
      <c r="O725" s="3"/>
    </row>
    <row r="726" spans="1:64" ht="12.75">
      <c r="A726" s="81" t="s">
        <v>163</v>
      </c>
      <c r="B726" s="81" t="s">
        <v>283</v>
      </c>
      <c r="C726" s="81" t="s">
        <v>455</v>
      </c>
      <c r="D726" s="139" t="s">
        <v>1064</v>
      </c>
      <c r="E726" s="134"/>
      <c r="F726" s="134"/>
      <c r="G726" s="140"/>
      <c r="H726" s="81" t="s">
        <v>1538</v>
      </c>
      <c r="I726" s="87">
        <v>1</v>
      </c>
      <c r="J726" s="87">
        <v>0</v>
      </c>
      <c r="K726" s="87">
        <f>I726*AO726</f>
        <v>0</v>
      </c>
      <c r="L726" s="87">
        <f>I726*AP726</f>
        <v>0</v>
      </c>
      <c r="M726" s="87">
        <f>I726*J726</f>
        <v>0</v>
      </c>
      <c r="N726" s="77" t="s">
        <v>1554</v>
      </c>
      <c r="O726" s="67"/>
      <c r="Z726" s="28">
        <f>IF(AQ726="5",BJ726,0)</f>
        <v>0</v>
      </c>
      <c r="AB726" s="28">
        <f>IF(AQ726="1",BH726,0)</f>
        <v>0</v>
      </c>
      <c r="AC726" s="28">
        <f>IF(AQ726="1",BI726,0)</f>
        <v>0</v>
      </c>
      <c r="AD726" s="28">
        <f>IF(AQ726="7",BH726,0)</f>
        <v>0</v>
      </c>
      <c r="AE726" s="28">
        <f>IF(AQ726="7",BI726,0)</f>
        <v>0</v>
      </c>
      <c r="AF726" s="28">
        <f>IF(AQ726="2",BH726,0)</f>
        <v>0</v>
      </c>
      <c r="AG726" s="28">
        <f>IF(AQ726="2",BI726,0)</f>
        <v>0</v>
      </c>
      <c r="AH726" s="28">
        <f>IF(AQ726="0",BJ726,0)</f>
        <v>0</v>
      </c>
      <c r="AI726" s="27" t="s">
        <v>283</v>
      </c>
      <c r="AJ726" s="18">
        <f>IF(AN726=0,M726,0)</f>
        <v>0</v>
      </c>
      <c r="AK726" s="18">
        <f>IF(AN726=15,M726,0)</f>
        <v>0</v>
      </c>
      <c r="AL726" s="18">
        <f>IF(AN726=21,M726,0)</f>
        <v>0</v>
      </c>
      <c r="AN726" s="28">
        <v>15</v>
      </c>
      <c r="AO726" s="28">
        <f>J726*1</f>
        <v>0</v>
      </c>
      <c r="AP726" s="28">
        <f>J726*(1-1)</f>
        <v>0</v>
      </c>
      <c r="AQ726" s="29" t="s">
        <v>13</v>
      </c>
      <c r="AV726" s="28">
        <f>AW726+AX726</f>
        <v>0</v>
      </c>
      <c r="AW726" s="28">
        <f>I726*AO726</f>
        <v>0</v>
      </c>
      <c r="AX726" s="28">
        <f>I726*AP726</f>
        <v>0</v>
      </c>
      <c r="AY726" s="31" t="s">
        <v>1595</v>
      </c>
      <c r="AZ726" s="31" t="s">
        <v>1622</v>
      </c>
      <c r="BA726" s="27" t="s">
        <v>1628</v>
      </c>
      <c r="BC726" s="28">
        <f>AW726+AX726</f>
        <v>0</v>
      </c>
      <c r="BD726" s="28">
        <f>J726/(100-BE726)*100</f>
        <v>0</v>
      </c>
      <c r="BE726" s="28">
        <v>0</v>
      </c>
      <c r="BF726" s="28">
        <f>726</f>
        <v>726</v>
      </c>
      <c r="BH726" s="18">
        <f>I726*AO726</f>
        <v>0</v>
      </c>
      <c r="BI726" s="18">
        <f>I726*AP726</f>
        <v>0</v>
      </c>
      <c r="BJ726" s="18">
        <f>I726*J726</f>
        <v>0</v>
      </c>
      <c r="BK726" s="18" t="s">
        <v>1634</v>
      </c>
      <c r="BL726" s="28">
        <v>766</v>
      </c>
    </row>
    <row r="727" spans="1:15" ht="12.75">
      <c r="A727" s="82"/>
      <c r="B727" s="83"/>
      <c r="C727" s="83"/>
      <c r="D727" s="85" t="s">
        <v>7</v>
      </c>
      <c r="G727" s="86" t="s">
        <v>455</v>
      </c>
      <c r="H727" s="83"/>
      <c r="I727" s="88">
        <v>1</v>
      </c>
      <c r="J727" s="83"/>
      <c r="K727" s="83"/>
      <c r="L727" s="83"/>
      <c r="M727" s="83"/>
      <c r="N727" s="80"/>
      <c r="O727" s="67"/>
    </row>
    <row r="728" spans="1:15" ht="12.75">
      <c r="A728" s="3"/>
      <c r="C728" s="12" t="s">
        <v>296</v>
      </c>
      <c r="D728" s="142" t="s">
        <v>1065</v>
      </c>
      <c r="E728" s="143"/>
      <c r="F728" s="143"/>
      <c r="G728" s="143"/>
      <c r="H728" s="143"/>
      <c r="I728" s="143"/>
      <c r="J728" s="143"/>
      <c r="K728" s="143"/>
      <c r="L728" s="143"/>
      <c r="M728" s="143"/>
      <c r="N728" s="144"/>
      <c r="O728" s="3"/>
    </row>
    <row r="729" spans="1:64" ht="12.75">
      <c r="A729" s="81" t="s">
        <v>164</v>
      </c>
      <c r="B729" s="81" t="s">
        <v>283</v>
      </c>
      <c r="C729" s="81" t="s">
        <v>456</v>
      </c>
      <c r="D729" s="139" t="s">
        <v>1064</v>
      </c>
      <c r="E729" s="134"/>
      <c r="F729" s="134"/>
      <c r="G729" s="140"/>
      <c r="H729" s="81" t="s">
        <v>1538</v>
      </c>
      <c r="I729" s="87">
        <v>5</v>
      </c>
      <c r="J729" s="87">
        <v>0</v>
      </c>
      <c r="K729" s="87">
        <f>I729*AO729</f>
        <v>0</v>
      </c>
      <c r="L729" s="87">
        <f>I729*AP729</f>
        <v>0</v>
      </c>
      <c r="M729" s="87">
        <f>I729*J729</f>
        <v>0</v>
      </c>
      <c r="N729" s="77" t="s">
        <v>1554</v>
      </c>
      <c r="O729" s="67"/>
      <c r="Z729" s="28">
        <f>IF(AQ729="5",BJ729,0)</f>
        <v>0</v>
      </c>
      <c r="AB729" s="28">
        <f>IF(AQ729="1",BH729,0)</f>
        <v>0</v>
      </c>
      <c r="AC729" s="28">
        <f>IF(AQ729="1",BI729,0)</f>
        <v>0</v>
      </c>
      <c r="AD729" s="28">
        <f>IF(AQ729="7",BH729,0)</f>
        <v>0</v>
      </c>
      <c r="AE729" s="28">
        <f>IF(AQ729="7",BI729,0)</f>
        <v>0</v>
      </c>
      <c r="AF729" s="28">
        <f>IF(AQ729="2",BH729,0)</f>
        <v>0</v>
      </c>
      <c r="AG729" s="28">
        <f>IF(AQ729="2",BI729,0)</f>
        <v>0</v>
      </c>
      <c r="AH729" s="28">
        <f>IF(AQ729="0",BJ729,0)</f>
        <v>0</v>
      </c>
      <c r="AI729" s="27" t="s">
        <v>283</v>
      </c>
      <c r="AJ729" s="18">
        <f>IF(AN729=0,M729,0)</f>
        <v>0</v>
      </c>
      <c r="AK729" s="18">
        <f>IF(AN729=15,M729,0)</f>
        <v>0</v>
      </c>
      <c r="AL729" s="18">
        <f>IF(AN729=21,M729,0)</f>
        <v>0</v>
      </c>
      <c r="AN729" s="28">
        <v>15</v>
      </c>
      <c r="AO729" s="28">
        <f>J729*1</f>
        <v>0</v>
      </c>
      <c r="AP729" s="28">
        <f>J729*(1-1)</f>
        <v>0</v>
      </c>
      <c r="AQ729" s="29" t="s">
        <v>13</v>
      </c>
      <c r="AV729" s="28">
        <f>AW729+AX729</f>
        <v>0</v>
      </c>
      <c r="AW729" s="28">
        <f>I729*AO729</f>
        <v>0</v>
      </c>
      <c r="AX729" s="28">
        <f>I729*AP729</f>
        <v>0</v>
      </c>
      <c r="AY729" s="31" t="s">
        <v>1595</v>
      </c>
      <c r="AZ729" s="31" t="s">
        <v>1622</v>
      </c>
      <c r="BA729" s="27" t="s">
        <v>1628</v>
      </c>
      <c r="BC729" s="28">
        <f>AW729+AX729</f>
        <v>0</v>
      </c>
      <c r="BD729" s="28">
        <f>J729/(100-BE729)*100</f>
        <v>0</v>
      </c>
      <c r="BE729" s="28">
        <v>0</v>
      </c>
      <c r="BF729" s="28">
        <f>729</f>
        <v>729</v>
      </c>
      <c r="BH729" s="18">
        <f>I729*AO729</f>
        <v>0</v>
      </c>
      <c r="BI729" s="18">
        <f>I729*AP729</f>
        <v>0</v>
      </c>
      <c r="BJ729" s="18">
        <f>I729*J729</f>
        <v>0</v>
      </c>
      <c r="BK729" s="18" t="s">
        <v>1634</v>
      </c>
      <c r="BL729" s="28">
        <v>766</v>
      </c>
    </row>
    <row r="730" spans="1:15" ht="12.75">
      <c r="A730" s="82"/>
      <c r="B730" s="83"/>
      <c r="C730" s="83"/>
      <c r="D730" s="85" t="s">
        <v>11</v>
      </c>
      <c r="G730" s="86" t="s">
        <v>456</v>
      </c>
      <c r="H730" s="83"/>
      <c r="I730" s="88">
        <v>5</v>
      </c>
      <c r="J730" s="83"/>
      <c r="K730" s="83"/>
      <c r="L730" s="83"/>
      <c r="M730" s="83"/>
      <c r="N730" s="80"/>
      <c r="O730" s="67"/>
    </row>
    <row r="731" spans="1:15" ht="12.75">
      <c r="A731" s="3"/>
      <c r="C731" s="12" t="s">
        <v>296</v>
      </c>
      <c r="D731" s="142" t="s">
        <v>1065</v>
      </c>
      <c r="E731" s="143"/>
      <c r="F731" s="143"/>
      <c r="G731" s="143"/>
      <c r="H731" s="143"/>
      <c r="I731" s="143"/>
      <c r="J731" s="143"/>
      <c r="K731" s="143"/>
      <c r="L731" s="143"/>
      <c r="M731" s="143"/>
      <c r="N731" s="144"/>
      <c r="O731" s="3"/>
    </row>
    <row r="732" spans="1:64" ht="12.75">
      <c r="A732" s="81" t="s">
        <v>165</v>
      </c>
      <c r="B732" s="81" t="s">
        <v>283</v>
      </c>
      <c r="C732" s="81" t="s">
        <v>457</v>
      </c>
      <c r="D732" s="139" t="s">
        <v>1064</v>
      </c>
      <c r="E732" s="134"/>
      <c r="F732" s="134"/>
      <c r="G732" s="140"/>
      <c r="H732" s="81" t="s">
        <v>1538</v>
      </c>
      <c r="I732" s="87">
        <v>6</v>
      </c>
      <c r="J732" s="87">
        <v>0</v>
      </c>
      <c r="K732" s="87">
        <f>I732*AO732</f>
        <v>0</v>
      </c>
      <c r="L732" s="87">
        <f>I732*AP732</f>
        <v>0</v>
      </c>
      <c r="M732" s="87">
        <f>I732*J732</f>
        <v>0</v>
      </c>
      <c r="N732" s="77" t="s">
        <v>1554</v>
      </c>
      <c r="O732" s="67"/>
      <c r="Z732" s="28">
        <f>IF(AQ732="5",BJ732,0)</f>
        <v>0</v>
      </c>
      <c r="AB732" s="28">
        <f>IF(AQ732="1",BH732,0)</f>
        <v>0</v>
      </c>
      <c r="AC732" s="28">
        <f>IF(AQ732="1",BI732,0)</f>
        <v>0</v>
      </c>
      <c r="AD732" s="28">
        <f>IF(AQ732="7",BH732,0)</f>
        <v>0</v>
      </c>
      <c r="AE732" s="28">
        <f>IF(AQ732="7",BI732,0)</f>
        <v>0</v>
      </c>
      <c r="AF732" s="28">
        <f>IF(AQ732="2",BH732,0)</f>
        <v>0</v>
      </c>
      <c r="AG732" s="28">
        <f>IF(AQ732="2",BI732,0)</f>
        <v>0</v>
      </c>
      <c r="AH732" s="28">
        <f>IF(AQ732="0",BJ732,0)</f>
        <v>0</v>
      </c>
      <c r="AI732" s="27" t="s">
        <v>283</v>
      </c>
      <c r="AJ732" s="18">
        <f>IF(AN732=0,M732,0)</f>
        <v>0</v>
      </c>
      <c r="AK732" s="18">
        <f>IF(AN732=15,M732,0)</f>
        <v>0</v>
      </c>
      <c r="AL732" s="18">
        <f>IF(AN732=21,M732,0)</f>
        <v>0</v>
      </c>
      <c r="AN732" s="28">
        <v>15</v>
      </c>
      <c r="AO732" s="28">
        <f>J732*1</f>
        <v>0</v>
      </c>
      <c r="AP732" s="28">
        <f>J732*(1-1)</f>
        <v>0</v>
      </c>
      <c r="AQ732" s="29" t="s">
        <v>13</v>
      </c>
      <c r="AV732" s="28">
        <f>AW732+AX732</f>
        <v>0</v>
      </c>
      <c r="AW732" s="28">
        <f>I732*AO732</f>
        <v>0</v>
      </c>
      <c r="AX732" s="28">
        <f>I732*AP732</f>
        <v>0</v>
      </c>
      <c r="AY732" s="31" t="s">
        <v>1595</v>
      </c>
      <c r="AZ732" s="31" t="s">
        <v>1622</v>
      </c>
      <c r="BA732" s="27" t="s">
        <v>1628</v>
      </c>
      <c r="BC732" s="28">
        <f>AW732+AX732</f>
        <v>0</v>
      </c>
      <c r="BD732" s="28">
        <f>J732/(100-BE732)*100</f>
        <v>0</v>
      </c>
      <c r="BE732" s="28">
        <v>0</v>
      </c>
      <c r="BF732" s="28">
        <f>732</f>
        <v>732</v>
      </c>
      <c r="BH732" s="18">
        <f>I732*AO732</f>
        <v>0</v>
      </c>
      <c r="BI732" s="18">
        <f>I732*AP732</f>
        <v>0</v>
      </c>
      <c r="BJ732" s="18">
        <f>I732*J732</f>
        <v>0</v>
      </c>
      <c r="BK732" s="18" t="s">
        <v>1634</v>
      </c>
      <c r="BL732" s="28">
        <v>766</v>
      </c>
    </row>
    <row r="733" spans="1:15" ht="12.75">
      <c r="A733" s="82"/>
      <c r="B733" s="83"/>
      <c r="C733" s="83"/>
      <c r="D733" s="85" t="s">
        <v>12</v>
      </c>
      <c r="G733" s="86" t="s">
        <v>457</v>
      </c>
      <c r="H733" s="83"/>
      <c r="I733" s="88">
        <v>6</v>
      </c>
      <c r="J733" s="83"/>
      <c r="K733" s="83"/>
      <c r="L733" s="83"/>
      <c r="M733" s="83"/>
      <c r="N733" s="80"/>
      <c r="O733" s="67"/>
    </row>
    <row r="734" spans="1:15" ht="12.75">
      <c r="A734" s="3"/>
      <c r="C734" s="12" t="s">
        <v>296</v>
      </c>
      <c r="D734" s="142" t="s">
        <v>1065</v>
      </c>
      <c r="E734" s="143"/>
      <c r="F734" s="143"/>
      <c r="G734" s="143"/>
      <c r="H734" s="143"/>
      <c r="I734" s="143"/>
      <c r="J734" s="143"/>
      <c r="K734" s="143"/>
      <c r="L734" s="143"/>
      <c r="M734" s="143"/>
      <c r="N734" s="144"/>
      <c r="O734" s="3"/>
    </row>
    <row r="735" spans="1:64" ht="12.75">
      <c r="A735" s="81" t="s">
        <v>166</v>
      </c>
      <c r="B735" s="81" t="s">
        <v>283</v>
      </c>
      <c r="C735" s="81" t="s">
        <v>458</v>
      </c>
      <c r="D735" s="139" t="s">
        <v>1064</v>
      </c>
      <c r="E735" s="134"/>
      <c r="F735" s="134"/>
      <c r="G735" s="140"/>
      <c r="H735" s="81" t="s">
        <v>1538</v>
      </c>
      <c r="I735" s="87">
        <v>1</v>
      </c>
      <c r="J735" s="87">
        <v>0</v>
      </c>
      <c r="K735" s="87">
        <f>I735*AO735</f>
        <v>0</v>
      </c>
      <c r="L735" s="87">
        <f>I735*AP735</f>
        <v>0</v>
      </c>
      <c r="M735" s="87">
        <f>I735*J735</f>
        <v>0</v>
      </c>
      <c r="N735" s="77" t="s">
        <v>1554</v>
      </c>
      <c r="O735" s="67"/>
      <c r="Z735" s="28">
        <f>IF(AQ735="5",BJ735,0)</f>
        <v>0</v>
      </c>
      <c r="AB735" s="28">
        <f>IF(AQ735="1",BH735,0)</f>
        <v>0</v>
      </c>
      <c r="AC735" s="28">
        <f>IF(AQ735="1",BI735,0)</f>
        <v>0</v>
      </c>
      <c r="AD735" s="28">
        <f>IF(AQ735="7",BH735,0)</f>
        <v>0</v>
      </c>
      <c r="AE735" s="28">
        <f>IF(AQ735="7",BI735,0)</f>
        <v>0</v>
      </c>
      <c r="AF735" s="28">
        <f>IF(AQ735="2",BH735,0)</f>
        <v>0</v>
      </c>
      <c r="AG735" s="28">
        <f>IF(AQ735="2",BI735,0)</f>
        <v>0</v>
      </c>
      <c r="AH735" s="28">
        <f>IF(AQ735="0",BJ735,0)</f>
        <v>0</v>
      </c>
      <c r="AI735" s="27" t="s">
        <v>283</v>
      </c>
      <c r="AJ735" s="18">
        <f>IF(AN735=0,M735,0)</f>
        <v>0</v>
      </c>
      <c r="AK735" s="18">
        <f>IF(AN735=15,M735,0)</f>
        <v>0</v>
      </c>
      <c r="AL735" s="18">
        <f>IF(AN735=21,M735,0)</f>
        <v>0</v>
      </c>
      <c r="AN735" s="28">
        <v>15</v>
      </c>
      <c r="AO735" s="28">
        <f>J735*1</f>
        <v>0</v>
      </c>
      <c r="AP735" s="28">
        <f>J735*(1-1)</f>
        <v>0</v>
      </c>
      <c r="AQ735" s="29" t="s">
        <v>13</v>
      </c>
      <c r="AV735" s="28">
        <f>AW735+AX735</f>
        <v>0</v>
      </c>
      <c r="AW735" s="28">
        <f>I735*AO735</f>
        <v>0</v>
      </c>
      <c r="AX735" s="28">
        <f>I735*AP735</f>
        <v>0</v>
      </c>
      <c r="AY735" s="31" t="s">
        <v>1595</v>
      </c>
      <c r="AZ735" s="31" t="s">
        <v>1622</v>
      </c>
      <c r="BA735" s="27" t="s">
        <v>1628</v>
      </c>
      <c r="BC735" s="28">
        <f>AW735+AX735</f>
        <v>0</v>
      </c>
      <c r="BD735" s="28">
        <f>J735/(100-BE735)*100</f>
        <v>0</v>
      </c>
      <c r="BE735" s="28">
        <v>0</v>
      </c>
      <c r="BF735" s="28">
        <f>735</f>
        <v>735</v>
      </c>
      <c r="BH735" s="18">
        <f>I735*AO735</f>
        <v>0</v>
      </c>
      <c r="BI735" s="18">
        <f>I735*AP735</f>
        <v>0</v>
      </c>
      <c r="BJ735" s="18">
        <f>I735*J735</f>
        <v>0</v>
      </c>
      <c r="BK735" s="18" t="s">
        <v>1634</v>
      </c>
      <c r="BL735" s="28">
        <v>766</v>
      </c>
    </row>
    <row r="736" spans="1:15" ht="12.75">
      <c r="A736" s="82"/>
      <c r="B736" s="83"/>
      <c r="C736" s="83"/>
      <c r="D736" s="85" t="s">
        <v>7</v>
      </c>
      <c r="G736" s="86" t="s">
        <v>458</v>
      </c>
      <c r="H736" s="83"/>
      <c r="I736" s="88">
        <v>1</v>
      </c>
      <c r="J736" s="83"/>
      <c r="K736" s="83"/>
      <c r="L736" s="83"/>
      <c r="M736" s="83"/>
      <c r="N736" s="80"/>
      <c r="O736" s="67"/>
    </row>
    <row r="737" spans="1:15" ht="12.75">
      <c r="A737" s="3"/>
      <c r="C737" s="12" t="s">
        <v>296</v>
      </c>
      <c r="D737" s="142" t="s">
        <v>1065</v>
      </c>
      <c r="E737" s="143"/>
      <c r="F737" s="143"/>
      <c r="G737" s="143"/>
      <c r="H737" s="143"/>
      <c r="I737" s="143"/>
      <c r="J737" s="143"/>
      <c r="K737" s="143"/>
      <c r="L737" s="143"/>
      <c r="M737" s="143"/>
      <c r="N737" s="144"/>
      <c r="O737" s="3"/>
    </row>
    <row r="738" spans="1:64" ht="12.75">
      <c r="A738" s="81" t="s">
        <v>167</v>
      </c>
      <c r="B738" s="81" t="s">
        <v>283</v>
      </c>
      <c r="C738" s="81" t="s">
        <v>459</v>
      </c>
      <c r="D738" s="139" t="s">
        <v>1066</v>
      </c>
      <c r="E738" s="134"/>
      <c r="F738" s="134"/>
      <c r="G738" s="140"/>
      <c r="H738" s="81" t="s">
        <v>1538</v>
      </c>
      <c r="I738" s="87">
        <v>2</v>
      </c>
      <c r="J738" s="87">
        <v>0</v>
      </c>
      <c r="K738" s="87">
        <f>I738*AO738</f>
        <v>0</v>
      </c>
      <c r="L738" s="87">
        <f>I738*AP738</f>
        <v>0</v>
      </c>
      <c r="M738" s="87">
        <f>I738*J738</f>
        <v>0</v>
      </c>
      <c r="N738" s="77" t="s">
        <v>1554</v>
      </c>
      <c r="O738" s="67"/>
      <c r="Z738" s="28">
        <f>IF(AQ738="5",BJ738,0)</f>
        <v>0</v>
      </c>
      <c r="AB738" s="28">
        <f>IF(AQ738="1",BH738,0)</f>
        <v>0</v>
      </c>
      <c r="AC738" s="28">
        <f>IF(AQ738="1",BI738,0)</f>
        <v>0</v>
      </c>
      <c r="AD738" s="28">
        <f>IF(AQ738="7",BH738,0)</f>
        <v>0</v>
      </c>
      <c r="AE738" s="28">
        <f>IF(AQ738="7",BI738,0)</f>
        <v>0</v>
      </c>
      <c r="AF738" s="28">
        <f>IF(AQ738="2",BH738,0)</f>
        <v>0</v>
      </c>
      <c r="AG738" s="28">
        <f>IF(AQ738="2",BI738,0)</f>
        <v>0</v>
      </c>
      <c r="AH738" s="28">
        <f>IF(AQ738="0",BJ738,0)</f>
        <v>0</v>
      </c>
      <c r="AI738" s="27" t="s">
        <v>283</v>
      </c>
      <c r="AJ738" s="18">
        <f>IF(AN738=0,M738,0)</f>
        <v>0</v>
      </c>
      <c r="AK738" s="18">
        <f>IF(AN738=15,M738,0)</f>
        <v>0</v>
      </c>
      <c r="AL738" s="18">
        <f>IF(AN738=21,M738,0)</f>
        <v>0</v>
      </c>
      <c r="AN738" s="28">
        <v>15</v>
      </c>
      <c r="AO738" s="28">
        <f>J738*1</f>
        <v>0</v>
      </c>
      <c r="AP738" s="28">
        <f>J738*(1-1)</f>
        <v>0</v>
      </c>
      <c r="AQ738" s="29" t="s">
        <v>13</v>
      </c>
      <c r="AV738" s="28">
        <f>AW738+AX738</f>
        <v>0</v>
      </c>
      <c r="AW738" s="28">
        <f>I738*AO738</f>
        <v>0</v>
      </c>
      <c r="AX738" s="28">
        <f>I738*AP738</f>
        <v>0</v>
      </c>
      <c r="AY738" s="31" t="s">
        <v>1595</v>
      </c>
      <c r="AZ738" s="31" t="s">
        <v>1622</v>
      </c>
      <c r="BA738" s="27" t="s">
        <v>1628</v>
      </c>
      <c r="BC738" s="28">
        <f>AW738+AX738</f>
        <v>0</v>
      </c>
      <c r="BD738" s="28">
        <f>J738/(100-BE738)*100</f>
        <v>0</v>
      </c>
      <c r="BE738" s="28">
        <v>0</v>
      </c>
      <c r="BF738" s="28">
        <f>738</f>
        <v>738</v>
      </c>
      <c r="BH738" s="18">
        <f>I738*AO738</f>
        <v>0</v>
      </c>
      <c r="BI738" s="18">
        <f>I738*AP738</f>
        <v>0</v>
      </c>
      <c r="BJ738" s="18">
        <f>I738*J738</f>
        <v>0</v>
      </c>
      <c r="BK738" s="18" t="s">
        <v>1634</v>
      </c>
      <c r="BL738" s="28">
        <v>766</v>
      </c>
    </row>
    <row r="739" spans="1:15" ht="12.75">
      <c r="A739" s="82"/>
      <c r="B739" s="83"/>
      <c r="C739" s="83"/>
      <c r="D739" s="85" t="s">
        <v>8</v>
      </c>
      <c r="G739" s="86" t="s">
        <v>459</v>
      </c>
      <c r="H739" s="83"/>
      <c r="I739" s="88">
        <v>2</v>
      </c>
      <c r="J739" s="83"/>
      <c r="K739" s="83"/>
      <c r="L739" s="83"/>
      <c r="M739" s="83"/>
      <c r="N739" s="80"/>
      <c r="O739" s="67"/>
    </row>
    <row r="740" spans="1:15" ht="12.75">
      <c r="A740" s="3"/>
      <c r="C740" s="12" t="s">
        <v>296</v>
      </c>
      <c r="D740" s="142" t="s">
        <v>1065</v>
      </c>
      <c r="E740" s="143"/>
      <c r="F740" s="143"/>
      <c r="G740" s="143"/>
      <c r="H740" s="143"/>
      <c r="I740" s="143"/>
      <c r="J740" s="143"/>
      <c r="K740" s="143"/>
      <c r="L740" s="143"/>
      <c r="M740" s="143"/>
      <c r="N740" s="144"/>
      <c r="O740" s="3"/>
    </row>
    <row r="741" spans="1:64" ht="12.75">
      <c r="A741" s="81" t="s">
        <v>168</v>
      </c>
      <c r="B741" s="81" t="s">
        <v>283</v>
      </c>
      <c r="C741" s="81" t="s">
        <v>460</v>
      </c>
      <c r="D741" s="139" t="s">
        <v>1067</v>
      </c>
      <c r="E741" s="134"/>
      <c r="F741" s="134"/>
      <c r="G741" s="140"/>
      <c r="H741" s="81" t="s">
        <v>1538</v>
      </c>
      <c r="I741" s="87">
        <v>1</v>
      </c>
      <c r="J741" s="87">
        <v>0</v>
      </c>
      <c r="K741" s="87">
        <f>I741*AO741</f>
        <v>0</v>
      </c>
      <c r="L741" s="87">
        <f>I741*AP741</f>
        <v>0</v>
      </c>
      <c r="M741" s="87">
        <f>I741*J741</f>
        <v>0</v>
      </c>
      <c r="N741" s="77" t="s">
        <v>1554</v>
      </c>
      <c r="O741" s="67"/>
      <c r="Z741" s="28">
        <f>IF(AQ741="5",BJ741,0)</f>
        <v>0</v>
      </c>
      <c r="AB741" s="28">
        <f>IF(AQ741="1",BH741,0)</f>
        <v>0</v>
      </c>
      <c r="AC741" s="28">
        <f>IF(AQ741="1",BI741,0)</f>
        <v>0</v>
      </c>
      <c r="AD741" s="28">
        <f>IF(AQ741="7",BH741,0)</f>
        <v>0</v>
      </c>
      <c r="AE741" s="28">
        <f>IF(AQ741="7",BI741,0)</f>
        <v>0</v>
      </c>
      <c r="AF741" s="28">
        <f>IF(AQ741="2",BH741,0)</f>
        <v>0</v>
      </c>
      <c r="AG741" s="28">
        <f>IF(AQ741="2",BI741,0)</f>
        <v>0</v>
      </c>
      <c r="AH741" s="28">
        <f>IF(AQ741="0",BJ741,0)</f>
        <v>0</v>
      </c>
      <c r="AI741" s="27" t="s">
        <v>283</v>
      </c>
      <c r="AJ741" s="18">
        <f>IF(AN741=0,M741,0)</f>
        <v>0</v>
      </c>
      <c r="AK741" s="18">
        <f>IF(AN741=15,M741,0)</f>
        <v>0</v>
      </c>
      <c r="AL741" s="18">
        <f>IF(AN741=21,M741,0)</f>
        <v>0</v>
      </c>
      <c r="AN741" s="28">
        <v>15</v>
      </c>
      <c r="AO741" s="28">
        <f>J741*1</f>
        <v>0</v>
      </c>
      <c r="AP741" s="28">
        <f>J741*(1-1)</f>
        <v>0</v>
      </c>
      <c r="AQ741" s="29" t="s">
        <v>13</v>
      </c>
      <c r="AV741" s="28">
        <f>AW741+AX741</f>
        <v>0</v>
      </c>
      <c r="AW741" s="28">
        <f>I741*AO741</f>
        <v>0</v>
      </c>
      <c r="AX741" s="28">
        <f>I741*AP741</f>
        <v>0</v>
      </c>
      <c r="AY741" s="31" t="s">
        <v>1595</v>
      </c>
      <c r="AZ741" s="31" t="s">
        <v>1622</v>
      </c>
      <c r="BA741" s="27" t="s">
        <v>1628</v>
      </c>
      <c r="BC741" s="28">
        <f>AW741+AX741</f>
        <v>0</v>
      </c>
      <c r="BD741" s="28">
        <f>J741/(100-BE741)*100</f>
        <v>0</v>
      </c>
      <c r="BE741" s="28">
        <v>0</v>
      </c>
      <c r="BF741" s="28">
        <f>741</f>
        <v>741</v>
      </c>
      <c r="BH741" s="18">
        <f>I741*AO741</f>
        <v>0</v>
      </c>
      <c r="BI741" s="18">
        <f>I741*AP741</f>
        <v>0</v>
      </c>
      <c r="BJ741" s="18">
        <f>I741*J741</f>
        <v>0</v>
      </c>
      <c r="BK741" s="18" t="s">
        <v>1634</v>
      </c>
      <c r="BL741" s="28">
        <v>766</v>
      </c>
    </row>
    <row r="742" spans="1:15" ht="12.75">
      <c r="A742" s="82"/>
      <c r="B742" s="83"/>
      <c r="C742" s="83"/>
      <c r="D742" s="85" t="s">
        <v>7</v>
      </c>
      <c r="G742" s="86" t="s">
        <v>460</v>
      </c>
      <c r="H742" s="83"/>
      <c r="I742" s="88">
        <v>1</v>
      </c>
      <c r="J742" s="83"/>
      <c r="K742" s="83"/>
      <c r="L742" s="83"/>
      <c r="M742" s="83"/>
      <c r="N742" s="80"/>
      <c r="O742" s="67"/>
    </row>
    <row r="743" spans="1:15" ht="12.75">
      <c r="A743" s="3"/>
      <c r="C743" s="12" t="s">
        <v>296</v>
      </c>
      <c r="D743" s="142" t="s">
        <v>1065</v>
      </c>
      <c r="E743" s="143"/>
      <c r="F743" s="143"/>
      <c r="G743" s="143"/>
      <c r="H743" s="143"/>
      <c r="I743" s="143"/>
      <c r="J743" s="143"/>
      <c r="K743" s="143"/>
      <c r="L743" s="143"/>
      <c r="M743" s="143"/>
      <c r="N743" s="144"/>
      <c r="O743" s="3"/>
    </row>
    <row r="744" spans="1:64" ht="12.75">
      <c r="A744" s="81" t="s">
        <v>169</v>
      </c>
      <c r="B744" s="81" t="s">
        <v>283</v>
      </c>
      <c r="C744" s="81" t="s">
        <v>461</v>
      </c>
      <c r="D744" s="139" t="s">
        <v>1067</v>
      </c>
      <c r="E744" s="134"/>
      <c r="F744" s="134"/>
      <c r="G744" s="140"/>
      <c r="H744" s="81" t="s">
        <v>1538</v>
      </c>
      <c r="I744" s="87">
        <v>3</v>
      </c>
      <c r="J744" s="87">
        <v>0</v>
      </c>
      <c r="K744" s="87">
        <f>I744*AO744</f>
        <v>0</v>
      </c>
      <c r="L744" s="87">
        <f>I744*AP744</f>
        <v>0</v>
      </c>
      <c r="M744" s="87">
        <f>I744*J744</f>
        <v>0</v>
      </c>
      <c r="N744" s="77" t="s">
        <v>1554</v>
      </c>
      <c r="O744" s="67"/>
      <c r="Z744" s="28">
        <f>IF(AQ744="5",BJ744,0)</f>
        <v>0</v>
      </c>
      <c r="AB744" s="28">
        <f>IF(AQ744="1",BH744,0)</f>
        <v>0</v>
      </c>
      <c r="AC744" s="28">
        <f>IF(AQ744="1",BI744,0)</f>
        <v>0</v>
      </c>
      <c r="AD744" s="28">
        <f>IF(AQ744="7",BH744,0)</f>
        <v>0</v>
      </c>
      <c r="AE744" s="28">
        <f>IF(AQ744="7",BI744,0)</f>
        <v>0</v>
      </c>
      <c r="AF744" s="28">
        <f>IF(AQ744="2",BH744,0)</f>
        <v>0</v>
      </c>
      <c r="AG744" s="28">
        <f>IF(AQ744="2",BI744,0)</f>
        <v>0</v>
      </c>
      <c r="AH744" s="28">
        <f>IF(AQ744="0",BJ744,0)</f>
        <v>0</v>
      </c>
      <c r="AI744" s="27" t="s">
        <v>283</v>
      </c>
      <c r="AJ744" s="18">
        <f>IF(AN744=0,M744,0)</f>
        <v>0</v>
      </c>
      <c r="AK744" s="18">
        <f>IF(AN744=15,M744,0)</f>
        <v>0</v>
      </c>
      <c r="AL744" s="18">
        <f>IF(AN744=21,M744,0)</f>
        <v>0</v>
      </c>
      <c r="AN744" s="28">
        <v>15</v>
      </c>
      <c r="AO744" s="28">
        <f>J744*1</f>
        <v>0</v>
      </c>
      <c r="AP744" s="28">
        <f>J744*(1-1)</f>
        <v>0</v>
      </c>
      <c r="AQ744" s="29" t="s">
        <v>13</v>
      </c>
      <c r="AV744" s="28">
        <f>AW744+AX744</f>
        <v>0</v>
      </c>
      <c r="AW744" s="28">
        <f>I744*AO744</f>
        <v>0</v>
      </c>
      <c r="AX744" s="28">
        <f>I744*AP744</f>
        <v>0</v>
      </c>
      <c r="AY744" s="31" t="s">
        <v>1595</v>
      </c>
      <c r="AZ744" s="31" t="s">
        <v>1622</v>
      </c>
      <c r="BA744" s="27" t="s">
        <v>1628</v>
      </c>
      <c r="BC744" s="28">
        <f>AW744+AX744</f>
        <v>0</v>
      </c>
      <c r="BD744" s="28">
        <f>J744/(100-BE744)*100</f>
        <v>0</v>
      </c>
      <c r="BE744" s="28">
        <v>0</v>
      </c>
      <c r="BF744" s="28">
        <f>744</f>
        <v>744</v>
      </c>
      <c r="BH744" s="18">
        <f>I744*AO744</f>
        <v>0</v>
      </c>
      <c r="BI744" s="18">
        <f>I744*AP744</f>
        <v>0</v>
      </c>
      <c r="BJ744" s="18">
        <f>I744*J744</f>
        <v>0</v>
      </c>
      <c r="BK744" s="18" t="s">
        <v>1634</v>
      </c>
      <c r="BL744" s="28">
        <v>766</v>
      </c>
    </row>
    <row r="745" spans="1:15" ht="12.75">
      <c r="A745" s="82"/>
      <c r="B745" s="83"/>
      <c r="C745" s="83"/>
      <c r="D745" s="85" t="s">
        <v>9</v>
      </c>
      <c r="G745" s="86" t="s">
        <v>461</v>
      </c>
      <c r="H745" s="83"/>
      <c r="I745" s="88">
        <v>3</v>
      </c>
      <c r="J745" s="83"/>
      <c r="K745" s="83"/>
      <c r="L745" s="83"/>
      <c r="M745" s="83"/>
      <c r="N745" s="80"/>
      <c r="O745" s="67"/>
    </row>
    <row r="746" spans="1:15" ht="12.75">
      <c r="A746" s="3"/>
      <c r="C746" s="12" t="s">
        <v>296</v>
      </c>
      <c r="D746" s="142" t="s">
        <v>1065</v>
      </c>
      <c r="E746" s="143"/>
      <c r="F746" s="143"/>
      <c r="G746" s="143"/>
      <c r="H746" s="143"/>
      <c r="I746" s="143"/>
      <c r="J746" s="143"/>
      <c r="K746" s="143"/>
      <c r="L746" s="143"/>
      <c r="M746" s="143"/>
      <c r="N746" s="144"/>
      <c r="O746" s="3"/>
    </row>
    <row r="747" spans="1:64" ht="12.75">
      <c r="A747" s="81" t="s">
        <v>170</v>
      </c>
      <c r="B747" s="81" t="s">
        <v>283</v>
      </c>
      <c r="C747" s="81" t="s">
        <v>462</v>
      </c>
      <c r="D747" s="139" t="s">
        <v>1067</v>
      </c>
      <c r="E747" s="134"/>
      <c r="F747" s="134"/>
      <c r="G747" s="140"/>
      <c r="H747" s="81" t="s">
        <v>1538</v>
      </c>
      <c r="I747" s="87">
        <v>1</v>
      </c>
      <c r="J747" s="87">
        <v>0</v>
      </c>
      <c r="K747" s="87">
        <f>I747*AO747</f>
        <v>0</v>
      </c>
      <c r="L747" s="87">
        <f>I747*AP747</f>
        <v>0</v>
      </c>
      <c r="M747" s="87">
        <f>I747*J747</f>
        <v>0</v>
      </c>
      <c r="N747" s="77" t="s">
        <v>1554</v>
      </c>
      <c r="O747" s="67"/>
      <c r="Z747" s="28">
        <f>IF(AQ747="5",BJ747,0)</f>
        <v>0</v>
      </c>
      <c r="AB747" s="28">
        <f>IF(AQ747="1",BH747,0)</f>
        <v>0</v>
      </c>
      <c r="AC747" s="28">
        <f>IF(AQ747="1",BI747,0)</f>
        <v>0</v>
      </c>
      <c r="AD747" s="28">
        <f>IF(AQ747="7",BH747,0)</f>
        <v>0</v>
      </c>
      <c r="AE747" s="28">
        <f>IF(AQ747="7",BI747,0)</f>
        <v>0</v>
      </c>
      <c r="AF747" s="28">
        <f>IF(AQ747="2",BH747,0)</f>
        <v>0</v>
      </c>
      <c r="AG747" s="28">
        <f>IF(AQ747="2",BI747,0)</f>
        <v>0</v>
      </c>
      <c r="AH747" s="28">
        <f>IF(AQ747="0",BJ747,0)</f>
        <v>0</v>
      </c>
      <c r="AI747" s="27" t="s">
        <v>283</v>
      </c>
      <c r="AJ747" s="18">
        <f>IF(AN747=0,M747,0)</f>
        <v>0</v>
      </c>
      <c r="AK747" s="18">
        <f>IF(AN747=15,M747,0)</f>
        <v>0</v>
      </c>
      <c r="AL747" s="18">
        <f>IF(AN747=21,M747,0)</f>
        <v>0</v>
      </c>
      <c r="AN747" s="28">
        <v>15</v>
      </c>
      <c r="AO747" s="28">
        <f>J747*1</f>
        <v>0</v>
      </c>
      <c r="AP747" s="28">
        <f>J747*(1-1)</f>
        <v>0</v>
      </c>
      <c r="AQ747" s="29" t="s">
        <v>13</v>
      </c>
      <c r="AV747" s="28">
        <f>AW747+AX747</f>
        <v>0</v>
      </c>
      <c r="AW747" s="28">
        <f>I747*AO747</f>
        <v>0</v>
      </c>
      <c r="AX747" s="28">
        <f>I747*AP747</f>
        <v>0</v>
      </c>
      <c r="AY747" s="31" t="s">
        <v>1595</v>
      </c>
      <c r="AZ747" s="31" t="s">
        <v>1622</v>
      </c>
      <c r="BA747" s="27" t="s">
        <v>1628</v>
      </c>
      <c r="BC747" s="28">
        <f>AW747+AX747</f>
        <v>0</v>
      </c>
      <c r="BD747" s="28">
        <f>J747/(100-BE747)*100</f>
        <v>0</v>
      </c>
      <c r="BE747" s="28">
        <v>0</v>
      </c>
      <c r="BF747" s="28">
        <f>747</f>
        <v>747</v>
      </c>
      <c r="BH747" s="18">
        <f>I747*AO747</f>
        <v>0</v>
      </c>
      <c r="BI747" s="18">
        <f>I747*AP747</f>
        <v>0</v>
      </c>
      <c r="BJ747" s="18">
        <f>I747*J747</f>
        <v>0</v>
      </c>
      <c r="BK747" s="18" t="s">
        <v>1634</v>
      </c>
      <c r="BL747" s="28">
        <v>766</v>
      </c>
    </row>
    <row r="748" spans="1:15" ht="12.75">
      <c r="A748" s="82"/>
      <c r="B748" s="83"/>
      <c r="C748" s="83"/>
      <c r="D748" s="85" t="s">
        <v>7</v>
      </c>
      <c r="G748" s="86" t="s">
        <v>462</v>
      </c>
      <c r="H748" s="83"/>
      <c r="I748" s="88">
        <v>1</v>
      </c>
      <c r="J748" s="83"/>
      <c r="K748" s="83"/>
      <c r="L748" s="83"/>
      <c r="M748" s="83"/>
      <c r="N748" s="80"/>
      <c r="O748" s="67"/>
    </row>
    <row r="749" spans="1:15" ht="12.75">
      <c r="A749" s="3"/>
      <c r="C749" s="12" t="s">
        <v>296</v>
      </c>
      <c r="D749" s="142" t="s">
        <v>1065</v>
      </c>
      <c r="E749" s="143"/>
      <c r="F749" s="143"/>
      <c r="G749" s="143"/>
      <c r="H749" s="143"/>
      <c r="I749" s="143"/>
      <c r="J749" s="143"/>
      <c r="K749" s="143"/>
      <c r="L749" s="143"/>
      <c r="M749" s="143"/>
      <c r="N749" s="144"/>
      <c r="O749" s="3"/>
    </row>
    <row r="750" spans="1:64" ht="12.75">
      <c r="A750" s="74" t="s">
        <v>171</v>
      </c>
      <c r="B750" s="74" t="s">
        <v>283</v>
      </c>
      <c r="C750" s="74" t="s">
        <v>463</v>
      </c>
      <c r="D750" s="133" t="s">
        <v>1068</v>
      </c>
      <c r="E750" s="134"/>
      <c r="F750" s="134"/>
      <c r="G750" s="135"/>
      <c r="H750" s="74" t="s">
        <v>1539</v>
      </c>
      <c r="I750" s="75">
        <v>329.14</v>
      </c>
      <c r="J750" s="75">
        <v>0</v>
      </c>
      <c r="K750" s="75">
        <f>I750*AO750</f>
        <v>0</v>
      </c>
      <c r="L750" s="75">
        <f>I750*AP750</f>
        <v>0</v>
      </c>
      <c r="M750" s="75">
        <f>I750*J750</f>
        <v>0</v>
      </c>
      <c r="N750" s="78" t="s">
        <v>1556</v>
      </c>
      <c r="O750" s="67"/>
      <c r="Z750" s="28">
        <f>IF(AQ750="5",BJ750,0)</f>
        <v>0</v>
      </c>
      <c r="AB750" s="28">
        <f>IF(AQ750="1",BH750,0)</f>
        <v>0</v>
      </c>
      <c r="AC750" s="28">
        <f>IF(AQ750="1",BI750,0)</f>
        <v>0</v>
      </c>
      <c r="AD750" s="28">
        <f>IF(AQ750="7",BH750,0)</f>
        <v>0</v>
      </c>
      <c r="AE750" s="28">
        <f>IF(AQ750="7",BI750,0)</f>
        <v>0</v>
      </c>
      <c r="AF750" s="28">
        <f>IF(AQ750="2",BH750,0)</f>
        <v>0</v>
      </c>
      <c r="AG750" s="28">
        <f>IF(AQ750="2",BI750,0)</f>
        <v>0</v>
      </c>
      <c r="AH750" s="28">
        <f>IF(AQ750="0",BJ750,0)</f>
        <v>0</v>
      </c>
      <c r="AI750" s="27" t="s">
        <v>283</v>
      </c>
      <c r="AJ750" s="18">
        <f>IF(AN750=0,M750,0)</f>
        <v>0</v>
      </c>
      <c r="AK750" s="18">
        <f>IF(AN750=15,M750,0)</f>
        <v>0</v>
      </c>
      <c r="AL750" s="18">
        <f>IF(AN750=21,M750,0)</f>
        <v>0</v>
      </c>
      <c r="AN750" s="28">
        <v>15</v>
      </c>
      <c r="AO750" s="28">
        <f>J750*0.374779661016949</f>
        <v>0</v>
      </c>
      <c r="AP750" s="28">
        <f>J750*(1-0.374779661016949)</f>
        <v>0</v>
      </c>
      <c r="AQ750" s="29" t="s">
        <v>13</v>
      </c>
      <c r="AV750" s="28">
        <f>AW750+AX750</f>
        <v>0</v>
      </c>
      <c r="AW750" s="28">
        <f>I750*AO750</f>
        <v>0</v>
      </c>
      <c r="AX750" s="28">
        <f>I750*AP750</f>
        <v>0</v>
      </c>
      <c r="AY750" s="31" t="s">
        <v>1595</v>
      </c>
      <c r="AZ750" s="31" t="s">
        <v>1622</v>
      </c>
      <c r="BA750" s="27" t="s">
        <v>1628</v>
      </c>
      <c r="BC750" s="28">
        <f>AW750+AX750</f>
        <v>0</v>
      </c>
      <c r="BD750" s="28">
        <f>J750/(100-BE750)*100</f>
        <v>0</v>
      </c>
      <c r="BE750" s="28">
        <v>0</v>
      </c>
      <c r="BF750" s="28">
        <f>750</f>
        <v>750</v>
      </c>
      <c r="BH750" s="18">
        <f>I750*AO750</f>
        <v>0</v>
      </c>
      <c r="BI750" s="18">
        <f>I750*AP750</f>
        <v>0</v>
      </c>
      <c r="BJ750" s="18">
        <f>I750*J750</f>
        <v>0</v>
      </c>
      <c r="BK750" s="18" t="s">
        <v>1634</v>
      </c>
      <c r="BL750" s="28">
        <v>766</v>
      </c>
    </row>
    <row r="751" spans="1:15" ht="12.75">
      <c r="A751" s="3"/>
      <c r="D751" s="136" t="s">
        <v>1069</v>
      </c>
      <c r="E751" s="137"/>
      <c r="F751" s="137"/>
      <c r="G751" s="137"/>
      <c r="H751" s="137"/>
      <c r="I751" s="137"/>
      <c r="J751" s="137"/>
      <c r="K751" s="137"/>
      <c r="L751" s="137"/>
      <c r="M751" s="137"/>
      <c r="N751" s="138"/>
      <c r="O751" s="3"/>
    </row>
    <row r="752" spans="1:15" ht="12.75">
      <c r="A752" s="89"/>
      <c r="B752" s="90"/>
      <c r="C752" s="90"/>
      <c r="D752" s="84" t="s">
        <v>1070</v>
      </c>
      <c r="G752" s="91"/>
      <c r="H752" s="90"/>
      <c r="I752" s="92">
        <v>329.14</v>
      </c>
      <c r="J752" s="90"/>
      <c r="K752" s="90"/>
      <c r="L752" s="90"/>
      <c r="M752" s="90"/>
      <c r="N752" s="79"/>
      <c r="O752" s="67"/>
    </row>
    <row r="753" spans="1:64" ht="12.75">
      <c r="A753" s="81" t="s">
        <v>172</v>
      </c>
      <c r="B753" s="81" t="s">
        <v>283</v>
      </c>
      <c r="C753" s="81" t="s">
        <v>464</v>
      </c>
      <c r="D753" s="139" t="s">
        <v>1071</v>
      </c>
      <c r="E753" s="134"/>
      <c r="F753" s="134"/>
      <c r="G753" s="140"/>
      <c r="H753" s="81" t="s">
        <v>1538</v>
      </c>
      <c r="I753" s="87">
        <v>2</v>
      </c>
      <c r="J753" s="87">
        <v>0</v>
      </c>
      <c r="K753" s="87">
        <f>I753*AO753</f>
        <v>0</v>
      </c>
      <c r="L753" s="87">
        <f>I753*AP753</f>
        <v>0</v>
      </c>
      <c r="M753" s="87">
        <f>I753*J753</f>
        <v>0</v>
      </c>
      <c r="N753" s="77" t="s">
        <v>1556</v>
      </c>
      <c r="O753" s="67"/>
      <c r="Z753" s="28">
        <f>IF(AQ753="5",BJ753,0)</f>
        <v>0</v>
      </c>
      <c r="AB753" s="28">
        <f>IF(AQ753="1",BH753,0)</f>
        <v>0</v>
      </c>
      <c r="AC753" s="28">
        <f>IF(AQ753="1",BI753,0)</f>
        <v>0</v>
      </c>
      <c r="AD753" s="28">
        <f>IF(AQ753="7",BH753,0)</f>
        <v>0</v>
      </c>
      <c r="AE753" s="28">
        <f>IF(AQ753="7",BI753,0)</f>
        <v>0</v>
      </c>
      <c r="AF753" s="28">
        <f>IF(AQ753="2",BH753,0)</f>
        <v>0</v>
      </c>
      <c r="AG753" s="28">
        <f>IF(AQ753="2",BI753,0)</f>
        <v>0</v>
      </c>
      <c r="AH753" s="28">
        <f>IF(AQ753="0",BJ753,0)</f>
        <v>0</v>
      </c>
      <c r="AI753" s="27" t="s">
        <v>283</v>
      </c>
      <c r="AJ753" s="18">
        <f>IF(AN753=0,M753,0)</f>
        <v>0</v>
      </c>
      <c r="AK753" s="18">
        <f>IF(AN753=15,M753,0)</f>
        <v>0</v>
      </c>
      <c r="AL753" s="18">
        <f>IF(AN753=21,M753,0)</f>
        <v>0</v>
      </c>
      <c r="AN753" s="28">
        <v>15</v>
      </c>
      <c r="AO753" s="28">
        <f>J753*0.0233024691358025</f>
        <v>0</v>
      </c>
      <c r="AP753" s="28">
        <f>J753*(1-0.0233024691358025)</f>
        <v>0</v>
      </c>
      <c r="AQ753" s="29" t="s">
        <v>13</v>
      </c>
      <c r="AV753" s="28">
        <f>AW753+AX753</f>
        <v>0</v>
      </c>
      <c r="AW753" s="28">
        <f>I753*AO753</f>
        <v>0</v>
      </c>
      <c r="AX753" s="28">
        <f>I753*AP753</f>
        <v>0</v>
      </c>
      <c r="AY753" s="31" t="s">
        <v>1595</v>
      </c>
      <c r="AZ753" s="31" t="s">
        <v>1622</v>
      </c>
      <c r="BA753" s="27" t="s">
        <v>1628</v>
      </c>
      <c r="BC753" s="28">
        <f>AW753+AX753</f>
        <v>0</v>
      </c>
      <c r="BD753" s="28">
        <f>J753/(100-BE753)*100</f>
        <v>0</v>
      </c>
      <c r="BE753" s="28">
        <v>0</v>
      </c>
      <c r="BF753" s="28">
        <f>753</f>
        <v>753</v>
      </c>
      <c r="BH753" s="18">
        <f>I753*AO753</f>
        <v>0</v>
      </c>
      <c r="BI753" s="18">
        <f>I753*AP753</f>
        <v>0</v>
      </c>
      <c r="BJ753" s="18">
        <f>I753*J753</f>
        <v>0</v>
      </c>
      <c r="BK753" s="18" t="s">
        <v>1634</v>
      </c>
      <c r="BL753" s="28">
        <v>766</v>
      </c>
    </row>
    <row r="754" spans="1:15" ht="12.75">
      <c r="A754" s="82"/>
      <c r="B754" s="83"/>
      <c r="C754" s="83"/>
      <c r="D754" s="85" t="s">
        <v>8</v>
      </c>
      <c r="G754" s="86"/>
      <c r="H754" s="83"/>
      <c r="I754" s="88">
        <v>2</v>
      </c>
      <c r="J754" s="83"/>
      <c r="K754" s="83"/>
      <c r="L754" s="83"/>
      <c r="M754" s="83"/>
      <c r="N754" s="80"/>
      <c r="O754" s="67"/>
    </row>
    <row r="755" spans="1:15" ht="12.75">
      <c r="A755" s="3"/>
      <c r="C755" s="12" t="s">
        <v>296</v>
      </c>
      <c r="D755" s="142" t="s">
        <v>869</v>
      </c>
      <c r="E755" s="143"/>
      <c r="F755" s="143"/>
      <c r="G755" s="143"/>
      <c r="H755" s="143"/>
      <c r="I755" s="143"/>
      <c r="J755" s="143"/>
      <c r="K755" s="143"/>
      <c r="L755" s="143"/>
      <c r="M755" s="143"/>
      <c r="N755" s="144"/>
      <c r="O755" s="3"/>
    </row>
    <row r="756" spans="1:64" ht="12.75">
      <c r="A756" s="94" t="s">
        <v>173</v>
      </c>
      <c r="B756" s="94" t="s">
        <v>283</v>
      </c>
      <c r="C756" s="94" t="s">
        <v>465</v>
      </c>
      <c r="D756" s="148" t="s">
        <v>1072</v>
      </c>
      <c r="E756" s="149"/>
      <c r="F756" s="149"/>
      <c r="G756" s="150"/>
      <c r="H756" s="94" t="s">
        <v>1538</v>
      </c>
      <c r="I756" s="95">
        <v>2</v>
      </c>
      <c r="J756" s="95">
        <v>0</v>
      </c>
      <c r="K756" s="95">
        <f>I756*AO756</f>
        <v>0</v>
      </c>
      <c r="L756" s="95">
        <f>I756*AP756</f>
        <v>0</v>
      </c>
      <c r="M756" s="95">
        <f>I756*J756</f>
        <v>0</v>
      </c>
      <c r="N756" s="93" t="s">
        <v>1555</v>
      </c>
      <c r="O756" s="67"/>
      <c r="Z756" s="28">
        <f>IF(AQ756="5",BJ756,0)</f>
        <v>0</v>
      </c>
      <c r="AB756" s="28">
        <f>IF(AQ756="1",BH756,0)</f>
        <v>0</v>
      </c>
      <c r="AC756" s="28">
        <f>IF(AQ756="1",BI756,0)</f>
        <v>0</v>
      </c>
      <c r="AD756" s="28">
        <f>IF(AQ756="7",BH756,0)</f>
        <v>0</v>
      </c>
      <c r="AE756" s="28">
        <f>IF(AQ756="7",BI756,0)</f>
        <v>0</v>
      </c>
      <c r="AF756" s="28">
        <f>IF(AQ756="2",BH756,0)</f>
        <v>0</v>
      </c>
      <c r="AG756" s="28">
        <f>IF(AQ756="2",BI756,0)</f>
        <v>0</v>
      </c>
      <c r="AH756" s="28">
        <f>IF(AQ756="0",BJ756,0)</f>
        <v>0</v>
      </c>
      <c r="AI756" s="27" t="s">
        <v>283</v>
      </c>
      <c r="AJ756" s="20">
        <f>IF(AN756=0,M756,0)</f>
        <v>0</v>
      </c>
      <c r="AK756" s="20">
        <f>IF(AN756=15,M756,0)</f>
        <v>0</v>
      </c>
      <c r="AL756" s="20">
        <f>IF(AN756=21,M756,0)</f>
        <v>0</v>
      </c>
      <c r="AN756" s="28">
        <v>15</v>
      </c>
      <c r="AO756" s="28">
        <f>J756*1</f>
        <v>0</v>
      </c>
      <c r="AP756" s="28">
        <f>J756*(1-1)</f>
        <v>0</v>
      </c>
      <c r="AQ756" s="30" t="s">
        <v>13</v>
      </c>
      <c r="AV756" s="28">
        <f>AW756+AX756</f>
        <v>0</v>
      </c>
      <c r="AW756" s="28">
        <f>I756*AO756</f>
        <v>0</v>
      </c>
      <c r="AX756" s="28">
        <f>I756*AP756</f>
        <v>0</v>
      </c>
      <c r="AY756" s="31" t="s">
        <v>1595</v>
      </c>
      <c r="AZ756" s="31" t="s">
        <v>1622</v>
      </c>
      <c r="BA756" s="27" t="s">
        <v>1628</v>
      </c>
      <c r="BC756" s="28">
        <f>AW756+AX756</f>
        <v>0</v>
      </c>
      <c r="BD756" s="28">
        <f>J756/(100-BE756)*100</f>
        <v>0</v>
      </c>
      <c r="BE756" s="28">
        <v>0</v>
      </c>
      <c r="BF756" s="28">
        <f>756</f>
        <v>756</v>
      </c>
      <c r="BH756" s="20">
        <f>I756*AO756</f>
        <v>0</v>
      </c>
      <c r="BI756" s="20">
        <f>I756*AP756</f>
        <v>0</v>
      </c>
      <c r="BJ756" s="20">
        <f>I756*J756</f>
        <v>0</v>
      </c>
      <c r="BK756" s="20" t="s">
        <v>1635</v>
      </c>
      <c r="BL756" s="28">
        <v>766</v>
      </c>
    </row>
    <row r="757" spans="1:15" ht="12.75">
      <c r="A757" s="82"/>
      <c r="B757" s="83"/>
      <c r="C757" s="83"/>
      <c r="D757" s="85" t="s">
        <v>8</v>
      </c>
      <c r="G757" s="86" t="s">
        <v>1475</v>
      </c>
      <c r="H757" s="83"/>
      <c r="I757" s="88">
        <v>2</v>
      </c>
      <c r="J757" s="83"/>
      <c r="K757" s="83"/>
      <c r="L757" s="83"/>
      <c r="M757" s="83"/>
      <c r="N757" s="80"/>
      <c r="O757" s="67"/>
    </row>
    <row r="758" spans="1:15" ht="25.5" customHeight="1">
      <c r="A758" s="3"/>
      <c r="C758" s="13" t="s">
        <v>302</v>
      </c>
      <c r="D758" s="145" t="s">
        <v>1073</v>
      </c>
      <c r="E758" s="146"/>
      <c r="F758" s="146"/>
      <c r="G758" s="146"/>
      <c r="H758" s="146"/>
      <c r="I758" s="146"/>
      <c r="J758" s="146"/>
      <c r="K758" s="146"/>
      <c r="L758" s="146"/>
      <c r="M758" s="146"/>
      <c r="N758" s="147"/>
      <c r="O758" s="3"/>
    </row>
    <row r="759" spans="1:15" ht="12.75">
      <c r="A759" s="3"/>
      <c r="C759" s="12" t="s">
        <v>296</v>
      </c>
      <c r="D759" s="142" t="s">
        <v>869</v>
      </c>
      <c r="E759" s="143"/>
      <c r="F759" s="143"/>
      <c r="G759" s="143"/>
      <c r="H759" s="143"/>
      <c r="I759" s="143"/>
      <c r="J759" s="143"/>
      <c r="K759" s="143"/>
      <c r="L759" s="143"/>
      <c r="M759" s="143"/>
      <c r="N759" s="144"/>
      <c r="O759" s="3"/>
    </row>
    <row r="760" spans="1:64" ht="12.75">
      <c r="A760" s="81" t="s">
        <v>174</v>
      </c>
      <c r="B760" s="81" t="s">
        <v>283</v>
      </c>
      <c r="C760" s="81" t="s">
        <v>466</v>
      </c>
      <c r="D760" s="139" t="s">
        <v>1074</v>
      </c>
      <c r="E760" s="134"/>
      <c r="F760" s="134"/>
      <c r="G760" s="140"/>
      <c r="H760" s="81" t="s">
        <v>1538</v>
      </c>
      <c r="I760" s="87">
        <v>24</v>
      </c>
      <c r="J760" s="87">
        <v>0</v>
      </c>
      <c r="K760" s="87">
        <f>I760*AO760</f>
        <v>0</v>
      </c>
      <c r="L760" s="87">
        <f>I760*AP760</f>
        <v>0</v>
      </c>
      <c r="M760" s="87">
        <f>I760*J760</f>
        <v>0</v>
      </c>
      <c r="N760" s="77" t="s">
        <v>1556</v>
      </c>
      <c r="O760" s="67"/>
      <c r="Z760" s="28">
        <f>IF(AQ760="5",BJ760,0)</f>
        <v>0</v>
      </c>
      <c r="AB760" s="28">
        <f>IF(AQ760="1",BH760,0)</f>
        <v>0</v>
      </c>
      <c r="AC760" s="28">
        <f>IF(AQ760="1",BI760,0)</f>
        <v>0</v>
      </c>
      <c r="AD760" s="28">
        <f>IF(AQ760="7",BH760,0)</f>
        <v>0</v>
      </c>
      <c r="AE760" s="28">
        <f>IF(AQ760="7",BI760,0)</f>
        <v>0</v>
      </c>
      <c r="AF760" s="28">
        <f>IF(AQ760="2",BH760,0)</f>
        <v>0</v>
      </c>
      <c r="AG760" s="28">
        <f>IF(AQ760="2",BI760,0)</f>
        <v>0</v>
      </c>
      <c r="AH760" s="28">
        <f>IF(AQ760="0",BJ760,0)</f>
        <v>0</v>
      </c>
      <c r="AI760" s="27" t="s">
        <v>283</v>
      </c>
      <c r="AJ760" s="18">
        <f>IF(AN760=0,M760,0)</f>
        <v>0</v>
      </c>
      <c r="AK760" s="18">
        <f>IF(AN760=15,M760,0)</f>
        <v>0</v>
      </c>
      <c r="AL760" s="18">
        <f>IF(AN760=21,M760,0)</f>
        <v>0</v>
      </c>
      <c r="AN760" s="28">
        <v>15</v>
      </c>
      <c r="AO760" s="28">
        <f>J760*0.00312183908045977</f>
        <v>0</v>
      </c>
      <c r="AP760" s="28">
        <f>J760*(1-0.00312183908045977)</f>
        <v>0</v>
      </c>
      <c r="AQ760" s="29" t="s">
        <v>13</v>
      </c>
      <c r="AV760" s="28">
        <f>AW760+AX760</f>
        <v>0</v>
      </c>
      <c r="AW760" s="28">
        <f>I760*AO760</f>
        <v>0</v>
      </c>
      <c r="AX760" s="28">
        <f>I760*AP760</f>
        <v>0</v>
      </c>
      <c r="AY760" s="31" t="s">
        <v>1595</v>
      </c>
      <c r="AZ760" s="31" t="s">
        <v>1622</v>
      </c>
      <c r="BA760" s="27" t="s">
        <v>1628</v>
      </c>
      <c r="BC760" s="28">
        <f>AW760+AX760</f>
        <v>0</v>
      </c>
      <c r="BD760" s="28">
        <f>J760/(100-BE760)*100</f>
        <v>0</v>
      </c>
      <c r="BE760" s="28">
        <v>0</v>
      </c>
      <c r="BF760" s="28">
        <f>760</f>
        <v>760</v>
      </c>
      <c r="BH760" s="18">
        <f>I760*AO760</f>
        <v>0</v>
      </c>
      <c r="BI760" s="18">
        <f>I760*AP760</f>
        <v>0</v>
      </c>
      <c r="BJ760" s="18">
        <f>I760*J760</f>
        <v>0</v>
      </c>
      <c r="BK760" s="18" t="s">
        <v>1634</v>
      </c>
      <c r="BL760" s="28">
        <v>766</v>
      </c>
    </row>
    <row r="761" spans="1:15" ht="12.75">
      <c r="A761" s="82"/>
      <c r="B761" s="83"/>
      <c r="C761" s="83"/>
      <c r="D761" s="85" t="s">
        <v>30</v>
      </c>
      <c r="G761" s="86" t="s">
        <v>1476</v>
      </c>
      <c r="H761" s="83"/>
      <c r="I761" s="88">
        <v>24</v>
      </c>
      <c r="J761" s="83"/>
      <c r="K761" s="83"/>
      <c r="L761" s="83"/>
      <c r="M761" s="83"/>
      <c r="N761" s="80"/>
      <c r="O761" s="67"/>
    </row>
    <row r="762" spans="1:15" ht="12.75">
      <c r="A762" s="3"/>
      <c r="C762" s="13" t="s">
        <v>302</v>
      </c>
      <c r="D762" s="145" t="s">
        <v>1075</v>
      </c>
      <c r="E762" s="146"/>
      <c r="F762" s="146"/>
      <c r="G762" s="146"/>
      <c r="H762" s="146"/>
      <c r="I762" s="146"/>
      <c r="J762" s="146"/>
      <c r="K762" s="146"/>
      <c r="L762" s="146"/>
      <c r="M762" s="146"/>
      <c r="N762" s="147"/>
      <c r="O762" s="3"/>
    </row>
    <row r="763" spans="1:15" ht="12.75">
      <c r="A763" s="3"/>
      <c r="C763" s="12" t="s">
        <v>296</v>
      </c>
      <c r="D763" s="142" t="s">
        <v>1065</v>
      </c>
      <c r="E763" s="143"/>
      <c r="F763" s="143"/>
      <c r="G763" s="143"/>
      <c r="H763" s="143"/>
      <c r="I763" s="143"/>
      <c r="J763" s="143"/>
      <c r="K763" s="143"/>
      <c r="L763" s="143"/>
      <c r="M763" s="143"/>
      <c r="N763" s="144"/>
      <c r="O763" s="3"/>
    </row>
    <row r="764" spans="1:64" ht="12.75">
      <c r="A764" s="94" t="s">
        <v>175</v>
      </c>
      <c r="B764" s="94" t="s">
        <v>283</v>
      </c>
      <c r="C764" s="94" t="s">
        <v>467</v>
      </c>
      <c r="D764" s="148" t="s">
        <v>1076</v>
      </c>
      <c r="E764" s="149"/>
      <c r="F764" s="149"/>
      <c r="G764" s="150"/>
      <c r="H764" s="94" t="s">
        <v>1538</v>
      </c>
      <c r="I764" s="95">
        <v>24</v>
      </c>
      <c r="J764" s="95">
        <v>0</v>
      </c>
      <c r="K764" s="95">
        <f>I764*AO764</f>
        <v>0</v>
      </c>
      <c r="L764" s="95">
        <f>I764*AP764</f>
        <v>0</v>
      </c>
      <c r="M764" s="95">
        <f>I764*J764</f>
        <v>0</v>
      </c>
      <c r="N764" s="93" t="s">
        <v>1554</v>
      </c>
      <c r="O764" s="67"/>
      <c r="Z764" s="28">
        <f>IF(AQ764="5",BJ764,0)</f>
        <v>0</v>
      </c>
      <c r="AB764" s="28">
        <f>IF(AQ764="1",BH764,0)</f>
        <v>0</v>
      </c>
      <c r="AC764" s="28">
        <f>IF(AQ764="1",BI764,0)</f>
        <v>0</v>
      </c>
      <c r="AD764" s="28">
        <f>IF(AQ764="7",BH764,0)</f>
        <v>0</v>
      </c>
      <c r="AE764" s="28">
        <f>IF(AQ764="7",BI764,0)</f>
        <v>0</v>
      </c>
      <c r="AF764" s="28">
        <f>IF(AQ764="2",BH764,0)</f>
        <v>0</v>
      </c>
      <c r="AG764" s="28">
        <f>IF(AQ764="2",BI764,0)</f>
        <v>0</v>
      </c>
      <c r="AH764" s="28">
        <f>IF(AQ764="0",BJ764,0)</f>
        <v>0</v>
      </c>
      <c r="AI764" s="27" t="s">
        <v>283</v>
      </c>
      <c r="AJ764" s="20">
        <f>IF(AN764=0,M764,0)</f>
        <v>0</v>
      </c>
      <c r="AK764" s="20">
        <f>IF(AN764=15,M764,0)</f>
        <v>0</v>
      </c>
      <c r="AL764" s="20">
        <f>IF(AN764=21,M764,0)</f>
        <v>0</v>
      </c>
      <c r="AN764" s="28">
        <v>15</v>
      </c>
      <c r="AO764" s="28">
        <f>J764*1</f>
        <v>0</v>
      </c>
      <c r="AP764" s="28">
        <f>J764*(1-1)</f>
        <v>0</v>
      </c>
      <c r="AQ764" s="30" t="s">
        <v>13</v>
      </c>
      <c r="AV764" s="28">
        <f>AW764+AX764</f>
        <v>0</v>
      </c>
      <c r="AW764" s="28">
        <f>I764*AO764</f>
        <v>0</v>
      </c>
      <c r="AX764" s="28">
        <f>I764*AP764</f>
        <v>0</v>
      </c>
      <c r="AY764" s="31" t="s">
        <v>1595</v>
      </c>
      <c r="AZ764" s="31" t="s">
        <v>1622</v>
      </c>
      <c r="BA764" s="27" t="s">
        <v>1628</v>
      </c>
      <c r="BC764" s="28">
        <f>AW764+AX764</f>
        <v>0</v>
      </c>
      <c r="BD764" s="28">
        <f>J764/(100-BE764)*100</f>
        <v>0</v>
      </c>
      <c r="BE764" s="28">
        <v>0</v>
      </c>
      <c r="BF764" s="28">
        <f>764</f>
        <v>764</v>
      </c>
      <c r="BH764" s="20">
        <f>I764*AO764</f>
        <v>0</v>
      </c>
      <c r="BI764" s="20">
        <f>I764*AP764</f>
        <v>0</v>
      </c>
      <c r="BJ764" s="20">
        <f>I764*J764</f>
        <v>0</v>
      </c>
      <c r="BK764" s="20" t="s">
        <v>1635</v>
      </c>
      <c r="BL764" s="28">
        <v>766</v>
      </c>
    </row>
    <row r="765" spans="1:15" ht="12.75">
      <c r="A765" s="82"/>
      <c r="B765" s="83"/>
      <c r="C765" s="83"/>
      <c r="D765" s="85" t="s">
        <v>30</v>
      </c>
      <c r="G765" s="86" t="s">
        <v>1477</v>
      </c>
      <c r="H765" s="83"/>
      <c r="I765" s="88">
        <v>24</v>
      </c>
      <c r="J765" s="83"/>
      <c r="K765" s="83"/>
      <c r="L765" s="83"/>
      <c r="M765" s="83"/>
      <c r="N765" s="80"/>
      <c r="O765" s="67"/>
    </row>
    <row r="766" spans="1:15" ht="38.25" customHeight="1">
      <c r="A766" s="3"/>
      <c r="C766" s="13" t="s">
        <v>302</v>
      </c>
      <c r="D766" s="145" t="s">
        <v>1077</v>
      </c>
      <c r="E766" s="146"/>
      <c r="F766" s="146"/>
      <c r="G766" s="146"/>
      <c r="H766" s="146"/>
      <c r="I766" s="146"/>
      <c r="J766" s="146"/>
      <c r="K766" s="146"/>
      <c r="L766" s="146"/>
      <c r="M766" s="146"/>
      <c r="N766" s="147"/>
      <c r="O766" s="3"/>
    </row>
    <row r="767" spans="1:15" ht="12.75">
      <c r="A767" s="3"/>
      <c r="D767" s="145" t="s">
        <v>1078</v>
      </c>
      <c r="E767" s="146"/>
      <c r="F767" s="146"/>
      <c r="G767" s="146"/>
      <c r="H767" s="146"/>
      <c r="I767" s="146"/>
      <c r="J767" s="146"/>
      <c r="K767" s="146"/>
      <c r="L767" s="146"/>
      <c r="M767" s="146"/>
      <c r="N767" s="147"/>
      <c r="O767" s="3"/>
    </row>
    <row r="768" spans="1:15" ht="12.75">
      <c r="A768" s="3"/>
      <c r="C768" s="12" t="s">
        <v>296</v>
      </c>
      <c r="D768" s="142" t="s">
        <v>1065</v>
      </c>
      <c r="E768" s="143"/>
      <c r="F768" s="143"/>
      <c r="G768" s="143"/>
      <c r="H768" s="143"/>
      <c r="I768" s="143"/>
      <c r="J768" s="143"/>
      <c r="K768" s="143"/>
      <c r="L768" s="143"/>
      <c r="M768" s="143"/>
      <c r="N768" s="144"/>
      <c r="O768" s="3"/>
    </row>
    <row r="769" spans="1:64" ht="12.75">
      <c r="A769" s="94" t="s">
        <v>176</v>
      </c>
      <c r="B769" s="94" t="s">
        <v>283</v>
      </c>
      <c r="C769" s="94" t="s">
        <v>468</v>
      </c>
      <c r="D769" s="148" t="s">
        <v>1079</v>
      </c>
      <c r="E769" s="149"/>
      <c r="F769" s="149"/>
      <c r="G769" s="150"/>
      <c r="H769" s="94" t="s">
        <v>1538</v>
      </c>
      <c r="I769" s="95">
        <v>24</v>
      </c>
      <c r="J769" s="95">
        <v>0</v>
      </c>
      <c r="K769" s="95">
        <f>I769*AO769</f>
        <v>0</v>
      </c>
      <c r="L769" s="95">
        <f>I769*AP769</f>
        <v>0</v>
      </c>
      <c r="M769" s="95">
        <f>I769*J769</f>
        <v>0</v>
      </c>
      <c r="N769" s="93" t="s">
        <v>1554</v>
      </c>
      <c r="O769" s="67"/>
      <c r="Z769" s="28">
        <f>IF(AQ769="5",BJ769,0)</f>
        <v>0</v>
      </c>
      <c r="AB769" s="28">
        <f>IF(AQ769="1",BH769,0)</f>
        <v>0</v>
      </c>
      <c r="AC769" s="28">
        <f>IF(AQ769="1",BI769,0)</f>
        <v>0</v>
      </c>
      <c r="AD769" s="28">
        <f>IF(AQ769="7",BH769,0)</f>
        <v>0</v>
      </c>
      <c r="AE769" s="28">
        <f>IF(AQ769="7",BI769,0)</f>
        <v>0</v>
      </c>
      <c r="AF769" s="28">
        <f>IF(AQ769="2",BH769,0)</f>
        <v>0</v>
      </c>
      <c r="AG769" s="28">
        <f>IF(AQ769="2",BI769,0)</f>
        <v>0</v>
      </c>
      <c r="AH769" s="28">
        <f>IF(AQ769="0",BJ769,0)</f>
        <v>0</v>
      </c>
      <c r="AI769" s="27" t="s">
        <v>283</v>
      </c>
      <c r="AJ769" s="20">
        <f>IF(AN769=0,M769,0)</f>
        <v>0</v>
      </c>
      <c r="AK769" s="20">
        <f>IF(AN769=15,M769,0)</f>
        <v>0</v>
      </c>
      <c r="AL769" s="20">
        <f>IF(AN769=21,M769,0)</f>
        <v>0</v>
      </c>
      <c r="AN769" s="28">
        <v>15</v>
      </c>
      <c r="AO769" s="28">
        <f>J769*1</f>
        <v>0</v>
      </c>
      <c r="AP769" s="28">
        <f>J769*(1-1)</f>
        <v>0</v>
      </c>
      <c r="AQ769" s="30" t="s">
        <v>13</v>
      </c>
      <c r="AV769" s="28">
        <f>AW769+AX769</f>
        <v>0</v>
      </c>
      <c r="AW769" s="28">
        <f>I769*AO769</f>
        <v>0</v>
      </c>
      <c r="AX769" s="28">
        <f>I769*AP769</f>
        <v>0</v>
      </c>
      <c r="AY769" s="31" t="s">
        <v>1595</v>
      </c>
      <c r="AZ769" s="31" t="s">
        <v>1622</v>
      </c>
      <c r="BA769" s="27" t="s">
        <v>1628</v>
      </c>
      <c r="BC769" s="28">
        <f>AW769+AX769</f>
        <v>0</v>
      </c>
      <c r="BD769" s="28">
        <f>J769/(100-BE769)*100</f>
        <v>0</v>
      </c>
      <c r="BE769" s="28">
        <v>0</v>
      </c>
      <c r="BF769" s="28">
        <f>769</f>
        <v>769</v>
      </c>
      <c r="BH769" s="20">
        <f>I769*AO769</f>
        <v>0</v>
      </c>
      <c r="BI769" s="20">
        <f>I769*AP769</f>
        <v>0</v>
      </c>
      <c r="BJ769" s="20">
        <f>I769*J769</f>
        <v>0</v>
      </c>
      <c r="BK769" s="20" t="s">
        <v>1635</v>
      </c>
      <c r="BL769" s="28">
        <v>766</v>
      </c>
    </row>
    <row r="770" spans="1:15" ht="12.75">
      <c r="A770" s="82"/>
      <c r="B770" s="83"/>
      <c r="C770" s="83"/>
      <c r="D770" s="85" t="s">
        <v>30</v>
      </c>
      <c r="G770" s="86" t="s">
        <v>1478</v>
      </c>
      <c r="H770" s="83"/>
      <c r="I770" s="88">
        <v>24</v>
      </c>
      <c r="J770" s="83"/>
      <c r="K770" s="83"/>
      <c r="L770" s="83"/>
      <c r="M770" s="83"/>
      <c r="N770" s="80"/>
      <c r="O770" s="67"/>
    </row>
    <row r="771" spans="1:15" ht="25.5" customHeight="1">
      <c r="A771" s="3"/>
      <c r="C771" s="13" t="s">
        <v>302</v>
      </c>
      <c r="D771" s="145" t="s">
        <v>1080</v>
      </c>
      <c r="E771" s="146"/>
      <c r="F771" s="146"/>
      <c r="G771" s="146"/>
      <c r="H771" s="146"/>
      <c r="I771" s="146"/>
      <c r="J771" s="146"/>
      <c r="K771" s="146"/>
      <c r="L771" s="146"/>
      <c r="M771" s="146"/>
      <c r="N771" s="147"/>
      <c r="O771" s="3"/>
    </row>
    <row r="772" spans="1:15" ht="12.75">
      <c r="A772" s="3"/>
      <c r="C772" s="12" t="s">
        <v>296</v>
      </c>
      <c r="D772" s="142" t="s">
        <v>1065</v>
      </c>
      <c r="E772" s="143"/>
      <c r="F772" s="143"/>
      <c r="G772" s="143"/>
      <c r="H772" s="143"/>
      <c r="I772" s="143"/>
      <c r="J772" s="143"/>
      <c r="K772" s="143"/>
      <c r="L772" s="143"/>
      <c r="M772" s="143"/>
      <c r="N772" s="144"/>
      <c r="O772" s="3"/>
    </row>
    <row r="773" spans="1:64" ht="12.75">
      <c r="A773" s="94" t="s">
        <v>177</v>
      </c>
      <c r="B773" s="94" t="s">
        <v>283</v>
      </c>
      <c r="C773" s="94" t="s">
        <v>469</v>
      </c>
      <c r="D773" s="148" t="s">
        <v>1081</v>
      </c>
      <c r="E773" s="149"/>
      <c r="F773" s="149"/>
      <c r="G773" s="150"/>
      <c r="H773" s="94" t="s">
        <v>1538</v>
      </c>
      <c r="I773" s="95">
        <v>24</v>
      </c>
      <c r="J773" s="95">
        <v>0</v>
      </c>
      <c r="K773" s="95">
        <f>I773*AO773</f>
        <v>0</v>
      </c>
      <c r="L773" s="95">
        <f>I773*AP773</f>
        <v>0</v>
      </c>
      <c r="M773" s="95">
        <f>I773*J773</f>
        <v>0</v>
      </c>
      <c r="N773" s="93" t="s">
        <v>1554</v>
      </c>
      <c r="O773" s="67"/>
      <c r="Z773" s="28">
        <f>IF(AQ773="5",BJ773,0)</f>
        <v>0</v>
      </c>
      <c r="AB773" s="28">
        <f>IF(AQ773="1",BH773,0)</f>
        <v>0</v>
      </c>
      <c r="AC773" s="28">
        <f>IF(AQ773="1",BI773,0)</f>
        <v>0</v>
      </c>
      <c r="AD773" s="28">
        <f>IF(AQ773="7",BH773,0)</f>
        <v>0</v>
      </c>
      <c r="AE773" s="28">
        <f>IF(AQ773="7",BI773,0)</f>
        <v>0</v>
      </c>
      <c r="AF773" s="28">
        <f>IF(AQ773="2",BH773,0)</f>
        <v>0</v>
      </c>
      <c r="AG773" s="28">
        <f>IF(AQ773="2",BI773,0)</f>
        <v>0</v>
      </c>
      <c r="AH773" s="28">
        <f>IF(AQ773="0",BJ773,0)</f>
        <v>0</v>
      </c>
      <c r="AI773" s="27" t="s">
        <v>283</v>
      </c>
      <c r="AJ773" s="20">
        <f>IF(AN773=0,M773,0)</f>
        <v>0</v>
      </c>
      <c r="AK773" s="20">
        <f>IF(AN773=15,M773,0)</f>
        <v>0</v>
      </c>
      <c r="AL773" s="20">
        <f>IF(AN773=21,M773,0)</f>
        <v>0</v>
      </c>
      <c r="AN773" s="28">
        <v>15</v>
      </c>
      <c r="AO773" s="28">
        <f>J773*1</f>
        <v>0</v>
      </c>
      <c r="AP773" s="28">
        <f>J773*(1-1)</f>
        <v>0</v>
      </c>
      <c r="AQ773" s="30" t="s">
        <v>13</v>
      </c>
      <c r="AV773" s="28">
        <f>AW773+AX773</f>
        <v>0</v>
      </c>
      <c r="AW773" s="28">
        <f>I773*AO773</f>
        <v>0</v>
      </c>
      <c r="AX773" s="28">
        <f>I773*AP773</f>
        <v>0</v>
      </c>
      <c r="AY773" s="31" t="s">
        <v>1595</v>
      </c>
      <c r="AZ773" s="31" t="s">
        <v>1622</v>
      </c>
      <c r="BA773" s="27" t="s">
        <v>1628</v>
      </c>
      <c r="BC773" s="28">
        <f>AW773+AX773</f>
        <v>0</v>
      </c>
      <c r="BD773" s="28">
        <f>J773/(100-BE773)*100</f>
        <v>0</v>
      </c>
      <c r="BE773" s="28">
        <v>0</v>
      </c>
      <c r="BF773" s="28">
        <f>773</f>
        <v>773</v>
      </c>
      <c r="BH773" s="20">
        <f>I773*AO773</f>
        <v>0</v>
      </c>
      <c r="BI773" s="20">
        <f>I773*AP773</f>
        <v>0</v>
      </c>
      <c r="BJ773" s="20">
        <f>I773*J773</f>
        <v>0</v>
      </c>
      <c r="BK773" s="20" t="s">
        <v>1635</v>
      </c>
      <c r="BL773" s="28">
        <v>766</v>
      </c>
    </row>
    <row r="774" spans="1:15" ht="12.75">
      <c r="A774" s="82"/>
      <c r="B774" s="83"/>
      <c r="C774" s="83"/>
      <c r="D774" s="85" t="s">
        <v>30</v>
      </c>
      <c r="G774" s="86" t="s">
        <v>1476</v>
      </c>
      <c r="H774" s="83"/>
      <c r="I774" s="88">
        <v>24</v>
      </c>
      <c r="J774" s="83"/>
      <c r="K774" s="83"/>
      <c r="L774" s="83"/>
      <c r="M774" s="83"/>
      <c r="N774" s="80"/>
      <c r="O774" s="67"/>
    </row>
    <row r="775" spans="1:15" ht="12.75">
      <c r="A775" s="3"/>
      <c r="C775" s="13" t="s">
        <v>302</v>
      </c>
      <c r="D775" s="145" t="s">
        <v>1082</v>
      </c>
      <c r="E775" s="146"/>
      <c r="F775" s="146"/>
      <c r="G775" s="146"/>
      <c r="H775" s="146"/>
      <c r="I775" s="146"/>
      <c r="J775" s="146"/>
      <c r="K775" s="146"/>
      <c r="L775" s="146"/>
      <c r="M775" s="146"/>
      <c r="N775" s="147"/>
      <c r="O775" s="3"/>
    </row>
    <row r="776" spans="1:15" ht="12.75">
      <c r="A776" s="3"/>
      <c r="C776" s="12" t="s">
        <v>296</v>
      </c>
      <c r="D776" s="142" t="s">
        <v>1065</v>
      </c>
      <c r="E776" s="143"/>
      <c r="F776" s="143"/>
      <c r="G776" s="143"/>
      <c r="H776" s="143"/>
      <c r="I776" s="143"/>
      <c r="J776" s="143"/>
      <c r="K776" s="143"/>
      <c r="L776" s="143"/>
      <c r="M776" s="143"/>
      <c r="N776" s="144"/>
      <c r="O776" s="3"/>
    </row>
    <row r="777" spans="1:64" ht="12.75">
      <c r="A777" s="94" t="s">
        <v>178</v>
      </c>
      <c r="B777" s="94" t="s">
        <v>283</v>
      </c>
      <c r="C777" s="94" t="s">
        <v>470</v>
      </c>
      <c r="D777" s="148" t="s">
        <v>1083</v>
      </c>
      <c r="E777" s="149"/>
      <c r="F777" s="149"/>
      <c r="G777" s="150"/>
      <c r="H777" s="94" t="s">
        <v>1538</v>
      </c>
      <c r="I777" s="95">
        <v>24</v>
      </c>
      <c r="J777" s="95">
        <v>0</v>
      </c>
      <c r="K777" s="95">
        <f>I777*AO777</f>
        <v>0</v>
      </c>
      <c r="L777" s="95">
        <f>I777*AP777</f>
        <v>0</v>
      </c>
      <c r="M777" s="95">
        <f>I777*J777</f>
        <v>0</v>
      </c>
      <c r="N777" s="93" t="s">
        <v>1554</v>
      </c>
      <c r="O777" s="67"/>
      <c r="Z777" s="28">
        <f>IF(AQ777="5",BJ777,0)</f>
        <v>0</v>
      </c>
      <c r="AB777" s="28">
        <f>IF(AQ777="1",BH777,0)</f>
        <v>0</v>
      </c>
      <c r="AC777" s="28">
        <f>IF(AQ777="1",BI777,0)</f>
        <v>0</v>
      </c>
      <c r="AD777" s="28">
        <f>IF(AQ777="7",BH777,0)</f>
        <v>0</v>
      </c>
      <c r="AE777" s="28">
        <f>IF(AQ777="7",BI777,0)</f>
        <v>0</v>
      </c>
      <c r="AF777" s="28">
        <f>IF(AQ777="2",BH777,0)</f>
        <v>0</v>
      </c>
      <c r="AG777" s="28">
        <f>IF(AQ777="2",BI777,0)</f>
        <v>0</v>
      </c>
      <c r="AH777" s="28">
        <f>IF(AQ777="0",BJ777,0)</f>
        <v>0</v>
      </c>
      <c r="AI777" s="27" t="s">
        <v>283</v>
      </c>
      <c r="AJ777" s="20">
        <f>IF(AN777=0,M777,0)</f>
        <v>0</v>
      </c>
      <c r="AK777" s="20">
        <f>IF(AN777=15,M777,0)</f>
        <v>0</v>
      </c>
      <c r="AL777" s="20">
        <f>IF(AN777=21,M777,0)</f>
        <v>0</v>
      </c>
      <c r="AN777" s="28">
        <v>15</v>
      </c>
      <c r="AO777" s="28">
        <f>J777*1</f>
        <v>0</v>
      </c>
      <c r="AP777" s="28">
        <f>J777*(1-1)</f>
        <v>0</v>
      </c>
      <c r="AQ777" s="30" t="s">
        <v>13</v>
      </c>
      <c r="AV777" s="28">
        <f>AW777+AX777</f>
        <v>0</v>
      </c>
      <c r="AW777" s="28">
        <f>I777*AO777</f>
        <v>0</v>
      </c>
      <c r="AX777" s="28">
        <f>I777*AP777</f>
        <v>0</v>
      </c>
      <c r="AY777" s="31" t="s">
        <v>1595</v>
      </c>
      <c r="AZ777" s="31" t="s">
        <v>1622</v>
      </c>
      <c r="BA777" s="27" t="s">
        <v>1628</v>
      </c>
      <c r="BC777" s="28">
        <f>AW777+AX777</f>
        <v>0</v>
      </c>
      <c r="BD777" s="28">
        <f>J777/(100-BE777)*100</f>
        <v>0</v>
      </c>
      <c r="BE777" s="28">
        <v>0</v>
      </c>
      <c r="BF777" s="28">
        <f>777</f>
        <v>777</v>
      </c>
      <c r="BH777" s="20">
        <f>I777*AO777</f>
        <v>0</v>
      </c>
      <c r="BI777" s="20">
        <f>I777*AP777</f>
        <v>0</v>
      </c>
      <c r="BJ777" s="20">
        <f>I777*J777</f>
        <v>0</v>
      </c>
      <c r="BK777" s="20" t="s">
        <v>1635</v>
      </c>
      <c r="BL777" s="28">
        <v>766</v>
      </c>
    </row>
    <row r="778" spans="1:15" ht="12.75">
      <c r="A778" s="82"/>
      <c r="B778" s="83"/>
      <c r="C778" s="83"/>
      <c r="D778" s="85" t="s">
        <v>30</v>
      </c>
      <c r="G778" s="86"/>
      <c r="H778" s="83"/>
      <c r="I778" s="88">
        <v>24</v>
      </c>
      <c r="J778" s="83"/>
      <c r="K778" s="83"/>
      <c r="L778" s="83"/>
      <c r="M778" s="83"/>
      <c r="N778" s="80"/>
      <c r="O778" s="67"/>
    </row>
    <row r="779" spans="1:15" ht="12.75">
      <c r="A779" s="3"/>
      <c r="C779" s="12" t="s">
        <v>296</v>
      </c>
      <c r="D779" s="142" t="s">
        <v>1065</v>
      </c>
      <c r="E779" s="143"/>
      <c r="F779" s="143"/>
      <c r="G779" s="143"/>
      <c r="H779" s="143"/>
      <c r="I779" s="143"/>
      <c r="J779" s="143"/>
      <c r="K779" s="143"/>
      <c r="L779" s="143"/>
      <c r="M779" s="143"/>
      <c r="N779" s="144"/>
      <c r="O779" s="3"/>
    </row>
    <row r="780" spans="1:64" ht="12.75">
      <c r="A780" s="81" t="s">
        <v>179</v>
      </c>
      <c r="B780" s="81" t="s">
        <v>283</v>
      </c>
      <c r="C780" s="81" t="s">
        <v>471</v>
      </c>
      <c r="D780" s="139" t="s">
        <v>1084</v>
      </c>
      <c r="E780" s="134"/>
      <c r="F780" s="134"/>
      <c r="G780" s="140"/>
      <c r="H780" s="81" t="s">
        <v>1538</v>
      </c>
      <c r="I780" s="87">
        <v>8</v>
      </c>
      <c r="J780" s="87">
        <v>0</v>
      </c>
      <c r="K780" s="87">
        <f>I780*AO780</f>
        <v>0</v>
      </c>
      <c r="L780" s="87">
        <f>I780*AP780</f>
        <v>0</v>
      </c>
      <c r="M780" s="87">
        <f>I780*J780</f>
        <v>0</v>
      </c>
      <c r="N780" s="77" t="s">
        <v>1556</v>
      </c>
      <c r="O780" s="67"/>
      <c r="Z780" s="28">
        <f>IF(AQ780="5",BJ780,0)</f>
        <v>0</v>
      </c>
      <c r="AB780" s="28">
        <f>IF(AQ780="1",BH780,0)</f>
        <v>0</v>
      </c>
      <c r="AC780" s="28">
        <f>IF(AQ780="1",BI780,0)</f>
        <v>0</v>
      </c>
      <c r="AD780" s="28">
        <f>IF(AQ780="7",BH780,0)</f>
        <v>0</v>
      </c>
      <c r="AE780" s="28">
        <f>IF(AQ780="7",BI780,0)</f>
        <v>0</v>
      </c>
      <c r="AF780" s="28">
        <f>IF(AQ780="2",BH780,0)</f>
        <v>0</v>
      </c>
      <c r="AG780" s="28">
        <f>IF(AQ780="2",BI780,0)</f>
        <v>0</v>
      </c>
      <c r="AH780" s="28">
        <f>IF(AQ780="0",BJ780,0)</f>
        <v>0</v>
      </c>
      <c r="AI780" s="27" t="s">
        <v>283</v>
      </c>
      <c r="AJ780" s="18">
        <f>IF(AN780=0,M780,0)</f>
        <v>0</v>
      </c>
      <c r="AK780" s="18">
        <f>IF(AN780=15,M780,0)</f>
        <v>0</v>
      </c>
      <c r="AL780" s="18">
        <f>IF(AN780=21,M780,0)</f>
        <v>0</v>
      </c>
      <c r="AN780" s="28">
        <v>15</v>
      </c>
      <c r="AO780" s="28">
        <f>J780*0.00386803185437998</f>
        <v>0</v>
      </c>
      <c r="AP780" s="28">
        <f>J780*(1-0.00386803185437998)</f>
        <v>0</v>
      </c>
      <c r="AQ780" s="29" t="s">
        <v>13</v>
      </c>
      <c r="AV780" s="28">
        <f>AW780+AX780</f>
        <v>0</v>
      </c>
      <c r="AW780" s="28">
        <f>I780*AO780</f>
        <v>0</v>
      </c>
      <c r="AX780" s="28">
        <f>I780*AP780</f>
        <v>0</v>
      </c>
      <c r="AY780" s="31" t="s">
        <v>1595</v>
      </c>
      <c r="AZ780" s="31" t="s">
        <v>1622</v>
      </c>
      <c r="BA780" s="27" t="s">
        <v>1628</v>
      </c>
      <c r="BC780" s="28">
        <f>AW780+AX780</f>
        <v>0</v>
      </c>
      <c r="BD780" s="28">
        <f>J780/(100-BE780)*100</f>
        <v>0</v>
      </c>
      <c r="BE780" s="28">
        <v>0</v>
      </c>
      <c r="BF780" s="28">
        <f>780</f>
        <v>780</v>
      </c>
      <c r="BH780" s="18">
        <f>I780*AO780</f>
        <v>0</v>
      </c>
      <c r="BI780" s="18">
        <f>I780*AP780</f>
        <v>0</v>
      </c>
      <c r="BJ780" s="18">
        <f>I780*J780</f>
        <v>0</v>
      </c>
      <c r="BK780" s="18" t="s">
        <v>1634</v>
      </c>
      <c r="BL780" s="28">
        <v>766</v>
      </c>
    </row>
    <row r="781" spans="1:15" ht="12.75">
      <c r="A781" s="82"/>
      <c r="B781" s="83"/>
      <c r="C781" s="83"/>
      <c r="D781" s="85" t="s">
        <v>14</v>
      </c>
      <c r="G781" s="86" t="s">
        <v>1479</v>
      </c>
      <c r="H781" s="83"/>
      <c r="I781" s="88">
        <v>8</v>
      </c>
      <c r="J781" s="83"/>
      <c r="K781" s="83"/>
      <c r="L781" s="83"/>
      <c r="M781" s="83"/>
      <c r="N781" s="80"/>
      <c r="O781" s="67"/>
    </row>
    <row r="782" spans="1:15" ht="12.75">
      <c r="A782" s="3"/>
      <c r="C782" s="13" t="s">
        <v>302</v>
      </c>
      <c r="D782" s="145" t="s">
        <v>1075</v>
      </c>
      <c r="E782" s="146"/>
      <c r="F782" s="146"/>
      <c r="G782" s="146"/>
      <c r="H782" s="146"/>
      <c r="I782" s="146"/>
      <c r="J782" s="146"/>
      <c r="K782" s="146"/>
      <c r="L782" s="146"/>
      <c r="M782" s="146"/>
      <c r="N782" s="147"/>
      <c r="O782" s="3"/>
    </row>
    <row r="783" spans="1:15" ht="12.75">
      <c r="A783" s="3"/>
      <c r="C783" s="12" t="s">
        <v>296</v>
      </c>
      <c r="D783" s="142" t="s">
        <v>1065</v>
      </c>
      <c r="E783" s="143"/>
      <c r="F783" s="143"/>
      <c r="G783" s="143"/>
      <c r="H783" s="143"/>
      <c r="I783" s="143"/>
      <c r="J783" s="143"/>
      <c r="K783" s="143"/>
      <c r="L783" s="143"/>
      <c r="M783" s="143"/>
      <c r="N783" s="144"/>
      <c r="O783" s="3"/>
    </row>
    <row r="784" spans="1:64" ht="12.75">
      <c r="A784" s="94" t="s">
        <v>180</v>
      </c>
      <c r="B784" s="94" t="s">
        <v>283</v>
      </c>
      <c r="C784" s="94" t="s">
        <v>472</v>
      </c>
      <c r="D784" s="148" t="s">
        <v>1085</v>
      </c>
      <c r="E784" s="149"/>
      <c r="F784" s="149"/>
      <c r="G784" s="150"/>
      <c r="H784" s="94" t="s">
        <v>1538</v>
      </c>
      <c r="I784" s="95">
        <v>8</v>
      </c>
      <c r="J784" s="95">
        <v>0</v>
      </c>
      <c r="K784" s="95">
        <f>I784*AO784</f>
        <v>0</v>
      </c>
      <c r="L784" s="95">
        <f>I784*AP784</f>
        <v>0</v>
      </c>
      <c r="M784" s="95">
        <f>I784*J784</f>
        <v>0</v>
      </c>
      <c r="N784" s="93" t="s">
        <v>1554</v>
      </c>
      <c r="O784" s="67"/>
      <c r="Z784" s="28">
        <f>IF(AQ784="5",BJ784,0)</f>
        <v>0</v>
      </c>
      <c r="AB784" s="28">
        <f>IF(AQ784="1",BH784,0)</f>
        <v>0</v>
      </c>
      <c r="AC784" s="28">
        <f>IF(AQ784="1",BI784,0)</f>
        <v>0</v>
      </c>
      <c r="AD784" s="28">
        <f>IF(AQ784="7",BH784,0)</f>
        <v>0</v>
      </c>
      <c r="AE784" s="28">
        <f>IF(AQ784="7",BI784,0)</f>
        <v>0</v>
      </c>
      <c r="AF784" s="28">
        <f>IF(AQ784="2",BH784,0)</f>
        <v>0</v>
      </c>
      <c r="AG784" s="28">
        <f>IF(AQ784="2",BI784,0)</f>
        <v>0</v>
      </c>
      <c r="AH784" s="28">
        <f>IF(AQ784="0",BJ784,0)</f>
        <v>0</v>
      </c>
      <c r="AI784" s="27" t="s">
        <v>283</v>
      </c>
      <c r="AJ784" s="20">
        <f>IF(AN784=0,M784,0)</f>
        <v>0</v>
      </c>
      <c r="AK784" s="20">
        <f>IF(AN784=15,M784,0)</f>
        <v>0</v>
      </c>
      <c r="AL784" s="20">
        <f>IF(AN784=21,M784,0)</f>
        <v>0</v>
      </c>
      <c r="AN784" s="28">
        <v>15</v>
      </c>
      <c r="AO784" s="28">
        <f>J784*1</f>
        <v>0</v>
      </c>
      <c r="AP784" s="28">
        <f>J784*(1-1)</f>
        <v>0</v>
      </c>
      <c r="AQ784" s="30" t="s">
        <v>13</v>
      </c>
      <c r="AV784" s="28">
        <f>AW784+AX784</f>
        <v>0</v>
      </c>
      <c r="AW784" s="28">
        <f>I784*AO784</f>
        <v>0</v>
      </c>
      <c r="AX784" s="28">
        <f>I784*AP784</f>
        <v>0</v>
      </c>
      <c r="AY784" s="31" t="s">
        <v>1595</v>
      </c>
      <c r="AZ784" s="31" t="s">
        <v>1622</v>
      </c>
      <c r="BA784" s="27" t="s">
        <v>1628</v>
      </c>
      <c r="BC784" s="28">
        <f>AW784+AX784</f>
        <v>0</v>
      </c>
      <c r="BD784" s="28">
        <f>J784/(100-BE784)*100</f>
        <v>0</v>
      </c>
      <c r="BE784" s="28">
        <v>0</v>
      </c>
      <c r="BF784" s="28">
        <f>784</f>
        <v>784</v>
      </c>
      <c r="BH784" s="20">
        <f>I784*AO784</f>
        <v>0</v>
      </c>
      <c r="BI784" s="20">
        <f>I784*AP784</f>
        <v>0</v>
      </c>
      <c r="BJ784" s="20">
        <f>I784*J784</f>
        <v>0</v>
      </c>
      <c r="BK784" s="20" t="s">
        <v>1635</v>
      </c>
      <c r="BL784" s="28">
        <v>766</v>
      </c>
    </row>
    <row r="785" spans="1:15" ht="12.75">
      <c r="A785" s="82"/>
      <c r="B785" s="83"/>
      <c r="C785" s="83"/>
      <c r="D785" s="85" t="s">
        <v>14</v>
      </c>
      <c r="G785" s="86" t="s">
        <v>1479</v>
      </c>
      <c r="H785" s="83"/>
      <c r="I785" s="88">
        <v>8</v>
      </c>
      <c r="J785" s="83"/>
      <c r="K785" s="83"/>
      <c r="L785" s="83"/>
      <c r="M785" s="83"/>
      <c r="N785" s="80"/>
      <c r="O785" s="67"/>
    </row>
    <row r="786" spans="1:15" ht="38.25" customHeight="1">
      <c r="A786" s="3"/>
      <c r="C786" s="13" t="s">
        <v>302</v>
      </c>
      <c r="D786" s="145" t="s">
        <v>1077</v>
      </c>
      <c r="E786" s="146"/>
      <c r="F786" s="146"/>
      <c r="G786" s="146"/>
      <c r="H786" s="146"/>
      <c r="I786" s="146"/>
      <c r="J786" s="146"/>
      <c r="K786" s="146"/>
      <c r="L786" s="146"/>
      <c r="M786" s="146"/>
      <c r="N786" s="147"/>
      <c r="O786" s="3"/>
    </row>
    <row r="787" spans="1:15" ht="12.75">
      <c r="A787" s="3"/>
      <c r="D787" s="145" t="s">
        <v>1078</v>
      </c>
      <c r="E787" s="146"/>
      <c r="F787" s="146"/>
      <c r="G787" s="146"/>
      <c r="H787" s="146"/>
      <c r="I787" s="146"/>
      <c r="J787" s="146"/>
      <c r="K787" s="146"/>
      <c r="L787" s="146"/>
      <c r="M787" s="146"/>
      <c r="N787" s="147"/>
      <c r="O787" s="3"/>
    </row>
    <row r="788" spans="1:15" ht="12.75">
      <c r="A788" s="3"/>
      <c r="C788" s="12" t="s">
        <v>296</v>
      </c>
      <c r="D788" s="142" t="s">
        <v>1065</v>
      </c>
      <c r="E788" s="143"/>
      <c r="F788" s="143"/>
      <c r="G788" s="143"/>
      <c r="H788" s="143"/>
      <c r="I788" s="143"/>
      <c r="J788" s="143"/>
      <c r="K788" s="143"/>
      <c r="L788" s="143"/>
      <c r="M788" s="143"/>
      <c r="N788" s="144"/>
      <c r="O788" s="3"/>
    </row>
    <row r="789" spans="1:64" ht="12.75">
      <c r="A789" s="94" t="s">
        <v>181</v>
      </c>
      <c r="B789" s="94" t="s">
        <v>283</v>
      </c>
      <c r="C789" s="94" t="s">
        <v>473</v>
      </c>
      <c r="D789" s="148" t="s">
        <v>1086</v>
      </c>
      <c r="E789" s="149"/>
      <c r="F789" s="149"/>
      <c r="G789" s="150"/>
      <c r="H789" s="94" t="s">
        <v>1538</v>
      </c>
      <c r="I789" s="95">
        <v>8</v>
      </c>
      <c r="J789" s="95">
        <v>0</v>
      </c>
      <c r="K789" s="95">
        <f>I789*AO789</f>
        <v>0</v>
      </c>
      <c r="L789" s="95">
        <f>I789*AP789</f>
        <v>0</v>
      </c>
      <c r="M789" s="95">
        <f>I789*J789</f>
        <v>0</v>
      </c>
      <c r="N789" s="93" t="s">
        <v>1554</v>
      </c>
      <c r="O789" s="67"/>
      <c r="Z789" s="28">
        <f>IF(AQ789="5",BJ789,0)</f>
        <v>0</v>
      </c>
      <c r="AB789" s="28">
        <f>IF(AQ789="1",BH789,0)</f>
        <v>0</v>
      </c>
      <c r="AC789" s="28">
        <f>IF(AQ789="1",BI789,0)</f>
        <v>0</v>
      </c>
      <c r="AD789" s="28">
        <f>IF(AQ789="7",BH789,0)</f>
        <v>0</v>
      </c>
      <c r="AE789" s="28">
        <f>IF(AQ789="7",BI789,0)</f>
        <v>0</v>
      </c>
      <c r="AF789" s="28">
        <f>IF(AQ789="2",BH789,0)</f>
        <v>0</v>
      </c>
      <c r="AG789" s="28">
        <f>IF(AQ789="2",BI789,0)</f>
        <v>0</v>
      </c>
      <c r="AH789" s="28">
        <f>IF(AQ789="0",BJ789,0)</f>
        <v>0</v>
      </c>
      <c r="AI789" s="27" t="s">
        <v>283</v>
      </c>
      <c r="AJ789" s="20">
        <f>IF(AN789=0,M789,0)</f>
        <v>0</v>
      </c>
      <c r="AK789" s="20">
        <f>IF(AN789=15,M789,0)</f>
        <v>0</v>
      </c>
      <c r="AL789" s="20">
        <f>IF(AN789=21,M789,0)</f>
        <v>0</v>
      </c>
      <c r="AN789" s="28">
        <v>15</v>
      </c>
      <c r="AO789" s="28">
        <f>J789*1</f>
        <v>0</v>
      </c>
      <c r="AP789" s="28">
        <f>J789*(1-1)</f>
        <v>0</v>
      </c>
      <c r="AQ789" s="30" t="s">
        <v>13</v>
      </c>
      <c r="AV789" s="28">
        <f>AW789+AX789</f>
        <v>0</v>
      </c>
      <c r="AW789" s="28">
        <f>I789*AO789</f>
        <v>0</v>
      </c>
      <c r="AX789" s="28">
        <f>I789*AP789</f>
        <v>0</v>
      </c>
      <c r="AY789" s="31" t="s">
        <v>1595</v>
      </c>
      <c r="AZ789" s="31" t="s">
        <v>1622</v>
      </c>
      <c r="BA789" s="27" t="s">
        <v>1628</v>
      </c>
      <c r="BC789" s="28">
        <f>AW789+AX789</f>
        <v>0</v>
      </c>
      <c r="BD789" s="28">
        <f>J789/(100-BE789)*100</f>
        <v>0</v>
      </c>
      <c r="BE789" s="28">
        <v>0</v>
      </c>
      <c r="BF789" s="28">
        <f>789</f>
        <v>789</v>
      </c>
      <c r="BH789" s="20">
        <f>I789*AO789</f>
        <v>0</v>
      </c>
      <c r="BI789" s="20">
        <f>I789*AP789</f>
        <v>0</v>
      </c>
      <c r="BJ789" s="20">
        <f>I789*J789</f>
        <v>0</v>
      </c>
      <c r="BK789" s="20" t="s">
        <v>1635</v>
      </c>
      <c r="BL789" s="28">
        <v>766</v>
      </c>
    </row>
    <row r="790" spans="1:15" ht="12.75">
      <c r="A790" s="82"/>
      <c r="B790" s="83"/>
      <c r="C790" s="83"/>
      <c r="D790" s="85" t="s">
        <v>14</v>
      </c>
      <c r="G790" s="86" t="s">
        <v>1480</v>
      </c>
      <c r="H790" s="83"/>
      <c r="I790" s="88">
        <v>8</v>
      </c>
      <c r="J790" s="83"/>
      <c r="K790" s="83"/>
      <c r="L790" s="83"/>
      <c r="M790" s="83"/>
      <c r="N790" s="80"/>
      <c r="O790" s="67"/>
    </row>
    <row r="791" spans="1:15" ht="25.5" customHeight="1">
      <c r="A791" s="3"/>
      <c r="C791" s="13" t="s">
        <v>302</v>
      </c>
      <c r="D791" s="145" t="s">
        <v>1087</v>
      </c>
      <c r="E791" s="146"/>
      <c r="F791" s="146"/>
      <c r="G791" s="146"/>
      <c r="H791" s="146"/>
      <c r="I791" s="146"/>
      <c r="J791" s="146"/>
      <c r="K791" s="146"/>
      <c r="L791" s="146"/>
      <c r="M791" s="146"/>
      <c r="N791" s="147"/>
      <c r="O791" s="3"/>
    </row>
    <row r="792" spans="1:15" ht="12.75">
      <c r="A792" s="3"/>
      <c r="C792" s="12" t="s">
        <v>296</v>
      </c>
      <c r="D792" s="142" t="s">
        <v>1065</v>
      </c>
      <c r="E792" s="143"/>
      <c r="F792" s="143"/>
      <c r="G792" s="143"/>
      <c r="H792" s="143"/>
      <c r="I792" s="143"/>
      <c r="J792" s="143"/>
      <c r="K792" s="143"/>
      <c r="L792" s="143"/>
      <c r="M792" s="143"/>
      <c r="N792" s="144"/>
      <c r="O792" s="3"/>
    </row>
    <row r="793" spans="1:64" ht="12.75">
      <c r="A793" s="94" t="s">
        <v>182</v>
      </c>
      <c r="B793" s="94" t="s">
        <v>283</v>
      </c>
      <c r="C793" s="94" t="s">
        <v>474</v>
      </c>
      <c r="D793" s="148" t="s">
        <v>1088</v>
      </c>
      <c r="E793" s="149"/>
      <c r="F793" s="149"/>
      <c r="G793" s="150"/>
      <c r="H793" s="94" t="s">
        <v>1538</v>
      </c>
      <c r="I793" s="95">
        <v>8</v>
      </c>
      <c r="J793" s="95">
        <v>0</v>
      </c>
      <c r="K793" s="95">
        <f>I793*AO793</f>
        <v>0</v>
      </c>
      <c r="L793" s="95">
        <f>I793*AP793</f>
        <v>0</v>
      </c>
      <c r="M793" s="95">
        <f>I793*J793</f>
        <v>0</v>
      </c>
      <c r="N793" s="93" t="s">
        <v>1554</v>
      </c>
      <c r="O793" s="67"/>
      <c r="Z793" s="28">
        <f>IF(AQ793="5",BJ793,0)</f>
        <v>0</v>
      </c>
      <c r="AB793" s="28">
        <f>IF(AQ793="1",BH793,0)</f>
        <v>0</v>
      </c>
      <c r="AC793" s="28">
        <f>IF(AQ793="1",BI793,0)</f>
        <v>0</v>
      </c>
      <c r="AD793" s="28">
        <f>IF(AQ793="7",BH793,0)</f>
        <v>0</v>
      </c>
      <c r="AE793" s="28">
        <f>IF(AQ793="7",BI793,0)</f>
        <v>0</v>
      </c>
      <c r="AF793" s="28">
        <f>IF(AQ793="2",BH793,0)</f>
        <v>0</v>
      </c>
      <c r="AG793" s="28">
        <f>IF(AQ793="2",BI793,0)</f>
        <v>0</v>
      </c>
      <c r="AH793" s="28">
        <f>IF(AQ793="0",BJ793,0)</f>
        <v>0</v>
      </c>
      <c r="AI793" s="27" t="s">
        <v>283</v>
      </c>
      <c r="AJ793" s="20">
        <f>IF(AN793=0,M793,0)</f>
        <v>0</v>
      </c>
      <c r="AK793" s="20">
        <f>IF(AN793=15,M793,0)</f>
        <v>0</v>
      </c>
      <c r="AL793" s="20">
        <f>IF(AN793=21,M793,0)</f>
        <v>0</v>
      </c>
      <c r="AN793" s="28">
        <v>15</v>
      </c>
      <c r="AO793" s="28">
        <f>J793*1</f>
        <v>0</v>
      </c>
      <c r="AP793" s="28">
        <f>J793*(1-1)</f>
        <v>0</v>
      </c>
      <c r="AQ793" s="30" t="s">
        <v>13</v>
      </c>
      <c r="AV793" s="28">
        <f>AW793+AX793</f>
        <v>0</v>
      </c>
      <c r="AW793" s="28">
        <f>I793*AO793</f>
        <v>0</v>
      </c>
      <c r="AX793" s="28">
        <f>I793*AP793</f>
        <v>0</v>
      </c>
      <c r="AY793" s="31" t="s">
        <v>1595</v>
      </c>
      <c r="AZ793" s="31" t="s">
        <v>1622</v>
      </c>
      <c r="BA793" s="27" t="s">
        <v>1628</v>
      </c>
      <c r="BC793" s="28">
        <f>AW793+AX793</f>
        <v>0</v>
      </c>
      <c r="BD793" s="28">
        <f>J793/(100-BE793)*100</f>
        <v>0</v>
      </c>
      <c r="BE793" s="28">
        <v>0</v>
      </c>
      <c r="BF793" s="28">
        <f>793</f>
        <v>793</v>
      </c>
      <c r="BH793" s="20">
        <f>I793*AO793</f>
        <v>0</v>
      </c>
      <c r="BI793" s="20">
        <f>I793*AP793</f>
        <v>0</v>
      </c>
      <c r="BJ793" s="20">
        <f>I793*J793</f>
        <v>0</v>
      </c>
      <c r="BK793" s="20" t="s">
        <v>1635</v>
      </c>
      <c r="BL793" s="28">
        <v>766</v>
      </c>
    </row>
    <row r="794" spans="1:15" ht="12.75">
      <c r="A794" s="82"/>
      <c r="B794" s="83"/>
      <c r="C794" s="83"/>
      <c r="D794" s="85" t="s">
        <v>14</v>
      </c>
      <c r="G794" s="86" t="s">
        <v>1479</v>
      </c>
      <c r="H794" s="83"/>
      <c r="I794" s="88">
        <v>8</v>
      </c>
      <c r="J794" s="83"/>
      <c r="K794" s="83"/>
      <c r="L794" s="83"/>
      <c r="M794" s="83"/>
      <c r="N794" s="80"/>
      <c r="O794" s="67"/>
    </row>
    <row r="795" spans="1:15" ht="12.75">
      <c r="A795" s="3"/>
      <c r="C795" s="13" t="s">
        <v>302</v>
      </c>
      <c r="D795" s="145" t="s">
        <v>1089</v>
      </c>
      <c r="E795" s="146"/>
      <c r="F795" s="146"/>
      <c r="G795" s="146"/>
      <c r="H795" s="146"/>
      <c r="I795" s="146"/>
      <c r="J795" s="146"/>
      <c r="K795" s="146"/>
      <c r="L795" s="146"/>
      <c r="M795" s="146"/>
      <c r="N795" s="147"/>
      <c r="O795" s="3"/>
    </row>
    <row r="796" spans="1:15" ht="12.75">
      <c r="A796" s="3"/>
      <c r="C796" s="12" t="s">
        <v>296</v>
      </c>
      <c r="D796" s="142" t="s">
        <v>1065</v>
      </c>
      <c r="E796" s="143"/>
      <c r="F796" s="143"/>
      <c r="G796" s="143"/>
      <c r="H796" s="143"/>
      <c r="I796" s="143"/>
      <c r="J796" s="143"/>
      <c r="K796" s="143"/>
      <c r="L796" s="143"/>
      <c r="M796" s="143"/>
      <c r="N796" s="144"/>
      <c r="O796" s="3"/>
    </row>
    <row r="797" spans="1:64" ht="12.75">
      <c r="A797" s="81" t="s">
        <v>183</v>
      </c>
      <c r="B797" s="81" t="s">
        <v>283</v>
      </c>
      <c r="C797" s="81" t="s">
        <v>475</v>
      </c>
      <c r="D797" s="139" t="s">
        <v>1090</v>
      </c>
      <c r="E797" s="134"/>
      <c r="F797" s="134"/>
      <c r="G797" s="140"/>
      <c r="H797" s="81" t="s">
        <v>1538</v>
      </c>
      <c r="I797" s="87">
        <v>1</v>
      </c>
      <c r="J797" s="87">
        <v>0</v>
      </c>
      <c r="K797" s="87">
        <f>I797*AO797</f>
        <v>0</v>
      </c>
      <c r="L797" s="87">
        <f>I797*AP797</f>
        <v>0</v>
      </c>
      <c r="M797" s="87">
        <f>I797*J797</f>
        <v>0</v>
      </c>
      <c r="N797" s="77" t="s">
        <v>1556</v>
      </c>
      <c r="O797" s="67"/>
      <c r="Z797" s="28">
        <f>IF(AQ797="5",BJ797,0)</f>
        <v>0</v>
      </c>
      <c r="AB797" s="28">
        <f>IF(AQ797="1",BH797,0)</f>
        <v>0</v>
      </c>
      <c r="AC797" s="28">
        <f>IF(AQ797="1",BI797,0)</f>
        <v>0</v>
      </c>
      <c r="AD797" s="28">
        <f>IF(AQ797="7",BH797,0)</f>
        <v>0</v>
      </c>
      <c r="AE797" s="28">
        <f>IF(AQ797="7",BI797,0)</f>
        <v>0</v>
      </c>
      <c r="AF797" s="28">
        <f>IF(AQ797="2",BH797,0)</f>
        <v>0</v>
      </c>
      <c r="AG797" s="28">
        <f>IF(AQ797="2",BI797,0)</f>
        <v>0</v>
      </c>
      <c r="AH797" s="28">
        <f>IF(AQ797="0",BJ797,0)</f>
        <v>0</v>
      </c>
      <c r="AI797" s="27" t="s">
        <v>283</v>
      </c>
      <c r="AJ797" s="18">
        <f>IF(AN797=0,M797,0)</f>
        <v>0</v>
      </c>
      <c r="AK797" s="18">
        <f>IF(AN797=15,M797,0)</f>
        <v>0</v>
      </c>
      <c r="AL797" s="18">
        <f>IF(AN797=21,M797,0)</f>
        <v>0</v>
      </c>
      <c r="AN797" s="28">
        <v>15</v>
      </c>
      <c r="AO797" s="28">
        <f>J797*0.00369825708061002</f>
        <v>0</v>
      </c>
      <c r="AP797" s="28">
        <f>J797*(1-0.00369825708061002)</f>
        <v>0</v>
      </c>
      <c r="AQ797" s="29" t="s">
        <v>13</v>
      </c>
      <c r="AV797" s="28">
        <f>AW797+AX797</f>
        <v>0</v>
      </c>
      <c r="AW797" s="28">
        <f>I797*AO797</f>
        <v>0</v>
      </c>
      <c r="AX797" s="28">
        <f>I797*AP797</f>
        <v>0</v>
      </c>
      <c r="AY797" s="31" t="s">
        <v>1595</v>
      </c>
      <c r="AZ797" s="31" t="s">
        <v>1622</v>
      </c>
      <c r="BA797" s="27" t="s">
        <v>1628</v>
      </c>
      <c r="BC797" s="28">
        <f>AW797+AX797</f>
        <v>0</v>
      </c>
      <c r="BD797" s="28">
        <f>J797/(100-BE797)*100</f>
        <v>0</v>
      </c>
      <c r="BE797" s="28">
        <v>0</v>
      </c>
      <c r="BF797" s="28">
        <f>797</f>
        <v>797</v>
      </c>
      <c r="BH797" s="18">
        <f>I797*AO797</f>
        <v>0</v>
      </c>
      <c r="BI797" s="18">
        <f>I797*AP797</f>
        <v>0</v>
      </c>
      <c r="BJ797" s="18">
        <f>I797*J797</f>
        <v>0</v>
      </c>
      <c r="BK797" s="18" t="s">
        <v>1634</v>
      </c>
      <c r="BL797" s="28">
        <v>766</v>
      </c>
    </row>
    <row r="798" spans="1:15" ht="12.75">
      <c r="A798" s="82"/>
      <c r="B798" s="83"/>
      <c r="C798" s="83"/>
      <c r="D798" s="85" t="s">
        <v>7</v>
      </c>
      <c r="G798" s="86" t="s">
        <v>1481</v>
      </c>
      <c r="H798" s="83"/>
      <c r="I798" s="88">
        <v>1</v>
      </c>
      <c r="J798" s="83"/>
      <c r="K798" s="83"/>
      <c r="L798" s="83"/>
      <c r="M798" s="83"/>
      <c r="N798" s="80"/>
      <c r="O798" s="67"/>
    </row>
    <row r="799" spans="1:15" ht="12.75">
      <c r="A799" s="3"/>
      <c r="C799" s="13" t="s">
        <v>302</v>
      </c>
      <c r="D799" s="145" t="s">
        <v>1075</v>
      </c>
      <c r="E799" s="146"/>
      <c r="F799" s="146"/>
      <c r="G799" s="146"/>
      <c r="H799" s="146"/>
      <c r="I799" s="146"/>
      <c r="J799" s="146"/>
      <c r="K799" s="146"/>
      <c r="L799" s="146"/>
      <c r="M799" s="146"/>
      <c r="N799" s="147"/>
      <c r="O799" s="3"/>
    </row>
    <row r="800" spans="1:15" ht="12.75">
      <c r="A800" s="3"/>
      <c r="C800" s="12" t="s">
        <v>296</v>
      </c>
      <c r="D800" s="142" t="s">
        <v>1065</v>
      </c>
      <c r="E800" s="143"/>
      <c r="F800" s="143"/>
      <c r="G800" s="143"/>
      <c r="H800" s="143"/>
      <c r="I800" s="143"/>
      <c r="J800" s="143"/>
      <c r="K800" s="143"/>
      <c r="L800" s="143"/>
      <c r="M800" s="143"/>
      <c r="N800" s="144"/>
      <c r="O800" s="3"/>
    </row>
    <row r="801" spans="1:64" ht="12.75">
      <c r="A801" s="94" t="s">
        <v>184</v>
      </c>
      <c r="B801" s="94" t="s">
        <v>283</v>
      </c>
      <c r="C801" s="94" t="s">
        <v>476</v>
      </c>
      <c r="D801" s="148" t="s">
        <v>1091</v>
      </c>
      <c r="E801" s="149"/>
      <c r="F801" s="149"/>
      <c r="G801" s="150"/>
      <c r="H801" s="94" t="s">
        <v>1538</v>
      </c>
      <c r="I801" s="95">
        <v>1</v>
      </c>
      <c r="J801" s="95">
        <v>0</v>
      </c>
      <c r="K801" s="95">
        <f>I801*AO801</f>
        <v>0</v>
      </c>
      <c r="L801" s="95">
        <f>I801*AP801</f>
        <v>0</v>
      </c>
      <c r="M801" s="95">
        <f>I801*J801</f>
        <v>0</v>
      </c>
      <c r="N801" s="93" t="s">
        <v>1554</v>
      </c>
      <c r="O801" s="67"/>
      <c r="Z801" s="28">
        <f>IF(AQ801="5",BJ801,0)</f>
        <v>0</v>
      </c>
      <c r="AB801" s="28">
        <f>IF(AQ801="1",BH801,0)</f>
        <v>0</v>
      </c>
      <c r="AC801" s="28">
        <f>IF(AQ801="1",BI801,0)</f>
        <v>0</v>
      </c>
      <c r="AD801" s="28">
        <f>IF(AQ801="7",BH801,0)</f>
        <v>0</v>
      </c>
      <c r="AE801" s="28">
        <f>IF(AQ801="7",BI801,0)</f>
        <v>0</v>
      </c>
      <c r="AF801" s="28">
        <f>IF(AQ801="2",BH801,0)</f>
        <v>0</v>
      </c>
      <c r="AG801" s="28">
        <f>IF(AQ801="2",BI801,0)</f>
        <v>0</v>
      </c>
      <c r="AH801" s="28">
        <f>IF(AQ801="0",BJ801,0)</f>
        <v>0</v>
      </c>
      <c r="AI801" s="27" t="s">
        <v>283</v>
      </c>
      <c r="AJ801" s="20">
        <f>IF(AN801=0,M801,0)</f>
        <v>0</v>
      </c>
      <c r="AK801" s="20">
        <f>IF(AN801=15,M801,0)</f>
        <v>0</v>
      </c>
      <c r="AL801" s="20">
        <f>IF(AN801=21,M801,0)</f>
        <v>0</v>
      </c>
      <c r="AN801" s="28">
        <v>15</v>
      </c>
      <c r="AO801" s="28">
        <f>J801*1</f>
        <v>0</v>
      </c>
      <c r="AP801" s="28">
        <f>J801*(1-1)</f>
        <v>0</v>
      </c>
      <c r="AQ801" s="30" t="s">
        <v>13</v>
      </c>
      <c r="AV801" s="28">
        <f>AW801+AX801</f>
        <v>0</v>
      </c>
      <c r="AW801" s="28">
        <f>I801*AO801</f>
        <v>0</v>
      </c>
      <c r="AX801" s="28">
        <f>I801*AP801</f>
        <v>0</v>
      </c>
      <c r="AY801" s="31" t="s">
        <v>1595</v>
      </c>
      <c r="AZ801" s="31" t="s">
        <v>1622</v>
      </c>
      <c r="BA801" s="27" t="s">
        <v>1628</v>
      </c>
      <c r="BC801" s="28">
        <f>AW801+AX801</f>
        <v>0</v>
      </c>
      <c r="BD801" s="28">
        <f>J801/(100-BE801)*100</f>
        <v>0</v>
      </c>
      <c r="BE801" s="28">
        <v>0</v>
      </c>
      <c r="BF801" s="28">
        <f>801</f>
        <v>801</v>
      </c>
      <c r="BH801" s="20">
        <f>I801*AO801</f>
        <v>0</v>
      </c>
      <c r="BI801" s="20">
        <f>I801*AP801</f>
        <v>0</v>
      </c>
      <c r="BJ801" s="20">
        <f>I801*J801</f>
        <v>0</v>
      </c>
      <c r="BK801" s="20" t="s">
        <v>1635</v>
      </c>
      <c r="BL801" s="28">
        <v>766</v>
      </c>
    </row>
    <row r="802" spans="1:15" ht="12.75">
      <c r="A802" s="82"/>
      <c r="B802" s="83"/>
      <c r="C802" s="83"/>
      <c r="D802" s="85" t="s">
        <v>7</v>
      </c>
      <c r="G802" s="86" t="s">
        <v>1481</v>
      </c>
      <c r="H802" s="83"/>
      <c r="I802" s="88">
        <v>1</v>
      </c>
      <c r="J802" s="83"/>
      <c r="K802" s="83"/>
      <c r="L802" s="83"/>
      <c r="M802" s="83"/>
      <c r="N802" s="80"/>
      <c r="O802" s="67"/>
    </row>
    <row r="803" spans="1:15" ht="38.25" customHeight="1">
      <c r="A803" s="3"/>
      <c r="C803" s="13" t="s">
        <v>302</v>
      </c>
      <c r="D803" s="145" t="s">
        <v>1077</v>
      </c>
      <c r="E803" s="146"/>
      <c r="F803" s="146"/>
      <c r="G803" s="146"/>
      <c r="H803" s="146"/>
      <c r="I803" s="146"/>
      <c r="J803" s="146"/>
      <c r="K803" s="146"/>
      <c r="L803" s="146"/>
      <c r="M803" s="146"/>
      <c r="N803" s="147"/>
      <c r="O803" s="3"/>
    </row>
    <row r="804" spans="1:15" ht="12.75">
      <c r="A804" s="3"/>
      <c r="D804" s="145" t="s">
        <v>1078</v>
      </c>
      <c r="E804" s="146"/>
      <c r="F804" s="146"/>
      <c r="G804" s="146"/>
      <c r="H804" s="146"/>
      <c r="I804" s="146"/>
      <c r="J804" s="146"/>
      <c r="K804" s="146"/>
      <c r="L804" s="146"/>
      <c r="M804" s="146"/>
      <c r="N804" s="147"/>
      <c r="O804" s="3"/>
    </row>
    <row r="805" spans="1:15" ht="12.75">
      <c r="A805" s="3"/>
      <c r="C805" s="12" t="s">
        <v>296</v>
      </c>
      <c r="D805" s="142" t="s">
        <v>1065</v>
      </c>
      <c r="E805" s="143"/>
      <c r="F805" s="143"/>
      <c r="G805" s="143"/>
      <c r="H805" s="143"/>
      <c r="I805" s="143"/>
      <c r="J805" s="143"/>
      <c r="K805" s="143"/>
      <c r="L805" s="143"/>
      <c r="M805" s="143"/>
      <c r="N805" s="144"/>
      <c r="O805" s="3"/>
    </row>
    <row r="806" spans="1:64" ht="12.75">
      <c r="A806" s="94" t="s">
        <v>185</v>
      </c>
      <c r="B806" s="94" t="s">
        <v>283</v>
      </c>
      <c r="C806" s="94" t="s">
        <v>477</v>
      </c>
      <c r="D806" s="148" t="s">
        <v>1092</v>
      </c>
      <c r="E806" s="149"/>
      <c r="F806" s="149"/>
      <c r="G806" s="150"/>
      <c r="H806" s="94" t="s">
        <v>1538</v>
      </c>
      <c r="I806" s="95">
        <v>1</v>
      </c>
      <c r="J806" s="95">
        <v>0</v>
      </c>
      <c r="K806" s="95">
        <f>I806*AO806</f>
        <v>0</v>
      </c>
      <c r="L806" s="95">
        <f>I806*AP806</f>
        <v>0</v>
      </c>
      <c r="M806" s="95">
        <f>I806*J806</f>
        <v>0</v>
      </c>
      <c r="N806" s="93" t="s">
        <v>1554</v>
      </c>
      <c r="O806" s="67"/>
      <c r="Z806" s="28">
        <f>IF(AQ806="5",BJ806,0)</f>
        <v>0</v>
      </c>
      <c r="AB806" s="28">
        <f>IF(AQ806="1",BH806,0)</f>
        <v>0</v>
      </c>
      <c r="AC806" s="28">
        <f>IF(AQ806="1",BI806,0)</f>
        <v>0</v>
      </c>
      <c r="AD806" s="28">
        <f>IF(AQ806="7",BH806,0)</f>
        <v>0</v>
      </c>
      <c r="AE806" s="28">
        <f>IF(AQ806="7",BI806,0)</f>
        <v>0</v>
      </c>
      <c r="AF806" s="28">
        <f>IF(AQ806="2",BH806,0)</f>
        <v>0</v>
      </c>
      <c r="AG806" s="28">
        <f>IF(AQ806="2",BI806,0)</f>
        <v>0</v>
      </c>
      <c r="AH806" s="28">
        <f>IF(AQ806="0",BJ806,0)</f>
        <v>0</v>
      </c>
      <c r="AI806" s="27" t="s">
        <v>283</v>
      </c>
      <c r="AJ806" s="20">
        <f>IF(AN806=0,M806,0)</f>
        <v>0</v>
      </c>
      <c r="AK806" s="20">
        <f>IF(AN806=15,M806,0)</f>
        <v>0</v>
      </c>
      <c r="AL806" s="20">
        <f>IF(AN806=21,M806,0)</f>
        <v>0</v>
      </c>
      <c r="AN806" s="28">
        <v>15</v>
      </c>
      <c r="AO806" s="28">
        <f>J806*1</f>
        <v>0</v>
      </c>
      <c r="AP806" s="28">
        <f>J806*(1-1)</f>
        <v>0</v>
      </c>
      <c r="AQ806" s="30" t="s">
        <v>13</v>
      </c>
      <c r="AV806" s="28">
        <f>AW806+AX806</f>
        <v>0</v>
      </c>
      <c r="AW806" s="28">
        <f>I806*AO806</f>
        <v>0</v>
      </c>
      <c r="AX806" s="28">
        <f>I806*AP806</f>
        <v>0</v>
      </c>
      <c r="AY806" s="31" t="s">
        <v>1595</v>
      </c>
      <c r="AZ806" s="31" t="s">
        <v>1622</v>
      </c>
      <c r="BA806" s="27" t="s">
        <v>1628</v>
      </c>
      <c r="BC806" s="28">
        <f>AW806+AX806</f>
        <v>0</v>
      </c>
      <c r="BD806" s="28">
        <f>J806/(100-BE806)*100</f>
        <v>0</v>
      </c>
      <c r="BE806" s="28">
        <v>0</v>
      </c>
      <c r="BF806" s="28">
        <f>806</f>
        <v>806</v>
      </c>
      <c r="BH806" s="20">
        <f>I806*AO806</f>
        <v>0</v>
      </c>
      <c r="BI806" s="20">
        <f>I806*AP806</f>
        <v>0</v>
      </c>
      <c r="BJ806" s="20">
        <f>I806*J806</f>
        <v>0</v>
      </c>
      <c r="BK806" s="20" t="s">
        <v>1635</v>
      </c>
      <c r="BL806" s="28">
        <v>766</v>
      </c>
    </row>
    <row r="807" spans="1:15" ht="12.75">
      <c r="A807" s="82"/>
      <c r="B807" s="83"/>
      <c r="C807" s="83"/>
      <c r="D807" s="85" t="s">
        <v>7</v>
      </c>
      <c r="G807" s="86" t="s">
        <v>1481</v>
      </c>
      <c r="H807" s="83"/>
      <c r="I807" s="88">
        <v>1</v>
      </c>
      <c r="J807" s="83"/>
      <c r="K807" s="83"/>
      <c r="L807" s="83"/>
      <c r="M807" s="83"/>
      <c r="N807" s="80"/>
      <c r="O807" s="67"/>
    </row>
    <row r="808" spans="1:15" ht="25.5" customHeight="1">
      <c r="A808" s="3"/>
      <c r="C808" s="13" t="s">
        <v>302</v>
      </c>
      <c r="D808" s="145" t="s">
        <v>1093</v>
      </c>
      <c r="E808" s="146"/>
      <c r="F808" s="146"/>
      <c r="G808" s="146"/>
      <c r="H808" s="146"/>
      <c r="I808" s="146"/>
      <c r="J808" s="146"/>
      <c r="K808" s="146"/>
      <c r="L808" s="146"/>
      <c r="M808" s="146"/>
      <c r="N808" s="147"/>
      <c r="O808" s="3"/>
    </row>
    <row r="809" spans="1:15" ht="12.75">
      <c r="A809" s="3"/>
      <c r="C809" s="12" t="s">
        <v>296</v>
      </c>
      <c r="D809" s="142" t="s">
        <v>1065</v>
      </c>
      <c r="E809" s="143"/>
      <c r="F809" s="143"/>
      <c r="G809" s="143"/>
      <c r="H809" s="143"/>
      <c r="I809" s="143"/>
      <c r="J809" s="143"/>
      <c r="K809" s="143"/>
      <c r="L809" s="143"/>
      <c r="M809" s="143"/>
      <c r="N809" s="144"/>
      <c r="O809" s="3"/>
    </row>
    <row r="810" spans="1:64" ht="12.75">
      <c r="A810" s="94" t="s">
        <v>186</v>
      </c>
      <c r="B810" s="94" t="s">
        <v>283</v>
      </c>
      <c r="C810" s="94" t="s">
        <v>478</v>
      </c>
      <c r="D810" s="148" t="s">
        <v>1094</v>
      </c>
      <c r="E810" s="149"/>
      <c r="F810" s="149"/>
      <c r="G810" s="150"/>
      <c r="H810" s="94" t="s">
        <v>1538</v>
      </c>
      <c r="I810" s="95">
        <v>1</v>
      </c>
      <c r="J810" s="95">
        <v>0</v>
      </c>
      <c r="K810" s="95">
        <f>I810*AO810</f>
        <v>0</v>
      </c>
      <c r="L810" s="95">
        <f>I810*AP810</f>
        <v>0</v>
      </c>
      <c r="M810" s="95">
        <f>I810*J810</f>
        <v>0</v>
      </c>
      <c r="N810" s="93" t="s">
        <v>1554</v>
      </c>
      <c r="O810" s="67"/>
      <c r="Z810" s="28">
        <f>IF(AQ810="5",BJ810,0)</f>
        <v>0</v>
      </c>
      <c r="AB810" s="28">
        <f>IF(AQ810="1",BH810,0)</f>
        <v>0</v>
      </c>
      <c r="AC810" s="28">
        <f>IF(AQ810="1",BI810,0)</f>
        <v>0</v>
      </c>
      <c r="AD810" s="28">
        <f>IF(AQ810="7",BH810,0)</f>
        <v>0</v>
      </c>
      <c r="AE810" s="28">
        <f>IF(AQ810="7",BI810,0)</f>
        <v>0</v>
      </c>
      <c r="AF810" s="28">
        <f>IF(AQ810="2",BH810,0)</f>
        <v>0</v>
      </c>
      <c r="AG810" s="28">
        <f>IF(AQ810="2",BI810,0)</f>
        <v>0</v>
      </c>
      <c r="AH810" s="28">
        <f>IF(AQ810="0",BJ810,0)</f>
        <v>0</v>
      </c>
      <c r="AI810" s="27" t="s">
        <v>283</v>
      </c>
      <c r="AJ810" s="20">
        <f>IF(AN810=0,M810,0)</f>
        <v>0</v>
      </c>
      <c r="AK810" s="20">
        <f>IF(AN810=15,M810,0)</f>
        <v>0</v>
      </c>
      <c r="AL810" s="20">
        <f>IF(AN810=21,M810,0)</f>
        <v>0</v>
      </c>
      <c r="AN810" s="28">
        <v>15</v>
      </c>
      <c r="AO810" s="28">
        <f>J810*1</f>
        <v>0</v>
      </c>
      <c r="AP810" s="28">
        <f>J810*(1-1)</f>
        <v>0</v>
      </c>
      <c r="AQ810" s="30" t="s">
        <v>13</v>
      </c>
      <c r="AV810" s="28">
        <f>AW810+AX810</f>
        <v>0</v>
      </c>
      <c r="AW810" s="28">
        <f>I810*AO810</f>
        <v>0</v>
      </c>
      <c r="AX810" s="28">
        <f>I810*AP810</f>
        <v>0</v>
      </c>
      <c r="AY810" s="31" t="s">
        <v>1595</v>
      </c>
      <c r="AZ810" s="31" t="s">
        <v>1622</v>
      </c>
      <c r="BA810" s="27" t="s">
        <v>1628</v>
      </c>
      <c r="BC810" s="28">
        <f>AW810+AX810</f>
        <v>0</v>
      </c>
      <c r="BD810" s="28">
        <f>J810/(100-BE810)*100</f>
        <v>0</v>
      </c>
      <c r="BE810" s="28">
        <v>0</v>
      </c>
      <c r="BF810" s="28">
        <f>810</f>
        <v>810</v>
      </c>
      <c r="BH810" s="20">
        <f>I810*AO810</f>
        <v>0</v>
      </c>
      <c r="BI810" s="20">
        <f>I810*AP810</f>
        <v>0</v>
      </c>
      <c r="BJ810" s="20">
        <f>I810*J810</f>
        <v>0</v>
      </c>
      <c r="BK810" s="20" t="s">
        <v>1635</v>
      </c>
      <c r="BL810" s="28">
        <v>766</v>
      </c>
    </row>
    <row r="811" spans="1:15" ht="12.75">
      <c r="A811" s="82"/>
      <c r="B811" s="83"/>
      <c r="C811" s="83"/>
      <c r="D811" s="85" t="s">
        <v>7</v>
      </c>
      <c r="G811" s="86" t="s">
        <v>1481</v>
      </c>
      <c r="H811" s="83"/>
      <c r="I811" s="88">
        <v>1</v>
      </c>
      <c r="J811" s="83"/>
      <c r="K811" s="83"/>
      <c r="L811" s="83"/>
      <c r="M811" s="83"/>
      <c r="N811" s="80"/>
      <c r="O811" s="67"/>
    </row>
    <row r="812" spans="1:15" ht="12.75">
      <c r="A812" s="3"/>
      <c r="C812" s="13" t="s">
        <v>302</v>
      </c>
      <c r="D812" s="145" t="s">
        <v>1095</v>
      </c>
      <c r="E812" s="146"/>
      <c r="F812" s="146"/>
      <c r="G812" s="146"/>
      <c r="H812" s="146"/>
      <c r="I812" s="146"/>
      <c r="J812" s="146"/>
      <c r="K812" s="146"/>
      <c r="L812" s="146"/>
      <c r="M812" s="146"/>
      <c r="N812" s="147"/>
      <c r="O812" s="3"/>
    </row>
    <row r="813" spans="1:15" ht="12.75">
      <c r="A813" s="3"/>
      <c r="C813" s="12" t="s">
        <v>296</v>
      </c>
      <c r="D813" s="142" t="s">
        <v>1065</v>
      </c>
      <c r="E813" s="143"/>
      <c r="F813" s="143"/>
      <c r="G813" s="143"/>
      <c r="H813" s="143"/>
      <c r="I813" s="143"/>
      <c r="J813" s="143"/>
      <c r="K813" s="143"/>
      <c r="L813" s="143"/>
      <c r="M813" s="143"/>
      <c r="N813" s="144"/>
      <c r="O813" s="3"/>
    </row>
    <row r="814" spans="1:64" ht="12.75">
      <c r="A814" s="81" t="s">
        <v>187</v>
      </c>
      <c r="B814" s="81" t="s">
        <v>283</v>
      </c>
      <c r="C814" s="81" t="s">
        <v>479</v>
      </c>
      <c r="D814" s="139" t="s">
        <v>1096</v>
      </c>
      <c r="E814" s="134"/>
      <c r="F814" s="134"/>
      <c r="G814" s="140"/>
      <c r="H814" s="81" t="s">
        <v>1540</v>
      </c>
      <c r="I814" s="87">
        <v>22276.22</v>
      </c>
      <c r="J814" s="87">
        <v>0</v>
      </c>
      <c r="K814" s="87">
        <f>I814*AO814</f>
        <v>0</v>
      </c>
      <c r="L814" s="87">
        <f>I814*AP814</f>
        <v>0</v>
      </c>
      <c r="M814" s="87">
        <f>I814*J814</f>
        <v>0</v>
      </c>
      <c r="N814" s="77" t="s">
        <v>1556</v>
      </c>
      <c r="O814" s="67"/>
      <c r="Z814" s="28">
        <f>IF(AQ814="5",BJ814,0)</f>
        <v>0</v>
      </c>
      <c r="AB814" s="28">
        <f>IF(AQ814="1",BH814,0)</f>
        <v>0</v>
      </c>
      <c r="AC814" s="28">
        <f>IF(AQ814="1",BI814,0)</f>
        <v>0</v>
      </c>
      <c r="AD814" s="28">
        <f>IF(AQ814="7",BH814,0)</f>
        <v>0</v>
      </c>
      <c r="AE814" s="28">
        <f>IF(AQ814="7",BI814,0)</f>
        <v>0</v>
      </c>
      <c r="AF814" s="28">
        <f>IF(AQ814="2",BH814,0)</f>
        <v>0</v>
      </c>
      <c r="AG814" s="28">
        <f>IF(AQ814="2",BI814,0)</f>
        <v>0</v>
      </c>
      <c r="AH814" s="28">
        <f>IF(AQ814="0",BJ814,0)</f>
        <v>0</v>
      </c>
      <c r="AI814" s="27" t="s">
        <v>283</v>
      </c>
      <c r="AJ814" s="18">
        <f>IF(AN814=0,M814,0)</f>
        <v>0</v>
      </c>
      <c r="AK814" s="18">
        <f>IF(AN814=15,M814,0)</f>
        <v>0</v>
      </c>
      <c r="AL814" s="18">
        <f>IF(AN814=21,M814,0)</f>
        <v>0</v>
      </c>
      <c r="AN814" s="28">
        <v>15</v>
      </c>
      <c r="AO814" s="28">
        <f>J814*0</f>
        <v>0</v>
      </c>
      <c r="AP814" s="28">
        <f>J814*(1-0)</f>
        <v>0</v>
      </c>
      <c r="AQ814" s="29" t="s">
        <v>11</v>
      </c>
      <c r="AV814" s="28">
        <f>AW814+AX814</f>
        <v>0</v>
      </c>
      <c r="AW814" s="28">
        <f>I814*AO814</f>
        <v>0</v>
      </c>
      <c r="AX814" s="28">
        <f>I814*AP814</f>
        <v>0</v>
      </c>
      <c r="AY814" s="31" t="s">
        <v>1595</v>
      </c>
      <c r="AZ814" s="31" t="s">
        <v>1622</v>
      </c>
      <c r="BA814" s="27" t="s">
        <v>1628</v>
      </c>
      <c r="BC814" s="28">
        <f>AW814+AX814</f>
        <v>0</v>
      </c>
      <c r="BD814" s="28">
        <f>J814/(100-BE814)*100</f>
        <v>0</v>
      </c>
      <c r="BE814" s="28">
        <v>0</v>
      </c>
      <c r="BF814" s="28">
        <f>814</f>
        <v>814</v>
      </c>
      <c r="BH814" s="18">
        <f>I814*AO814</f>
        <v>0</v>
      </c>
      <c r="BI814" s="18">
        <f>I814*AP814</f>
        <v>0</v>
      </c>
      <c r="BJ814" s="18">
        <f>I814*J814</f>
        <v>0</v>
      </c>
      <c r="BK814" s="18" t="s">
        <v>1634</v>
      </c>
      <c r="BL814" s="28">
        <v>766</v>
      </c>
    </row>
    <row r="815" spans="1:15" ht="12.75">
      <c r="A815" s="89"/>
      <c r="B815" s="90"/>
      <c r="C815" s="90"/>
      <c r="D815" s="84" t="s">
        <v>1097</v>
      </c>
      <c r="G815" s="91"/>
      <c r="H815" s="90"/>
      <c r="I815" s="92">
        <v>22276.22</v>
      </c>
      <c r="J815" s="90"/>
      <c r="K815" s="90"/>
      <c r="L815" s="90"/>
      <c r="M815" s="90"/>
      <c r="N815" s="79"/>
      <c r="O815" s="67"/>
    </row>
    <row r="816" spans="1:47" ht="12.75">
      <c r="A816" s="72"/>
      <c r="B816" s="73" t="s">
        <v>283</v>
      </c>
      <c r="C816" s="73" t="s">
        <v>480</v>
      </c>
      <c r="D816" s="130" t="s">
        <v>1098</v>
      </c>
      <c r="E816" s="131"/>
      <c r="F816" s="131"/>
      <c r="G816" s="132"/>
      <c r="H816" s="72" t="s">
        <v>6</v>
      </c>
      <c r="I816" s="72" t="s">
        <v>6</v>
      </c>
      <c r="J816" s="72" t="s">
        <v>6</v>
      </c>
      <c r="K816" s="76">
        <f>SUM(K817:K844)</f>
        <v>0</v>
      </c>
      <c r="L816" s="76">
        <f>SUM(L817:L844)</f>
        <v>0</v>
      </c>
      <c r="M816" s="76">
        <f>SUM(M817:M844)</f>
        <v>0</v>
      </c>
      <c r="N816" s="71"/>
      <c r="O816" s="67"/>
      <c r="AI816" s="27" t="s">
        <v>283</v>
      </c>
      <c r="AS816" s="33">
        <f>SUM(AJ817:AJ844)</f>
        <v>0</v>
      </c>
      <c r="AT816" s="33">
        <f>SUM(AK817:AK844)</f>
        <v>0</v>
      </c>
      <c r="AU816" s="33">
        <f>SUM(AL817:AL844)</f>
        <v>0</v>
      </c>
    </row>
    <row r="817" spans="1:64" ht="12.75">
      <c r="A817" s="81" t="s">
        <v>188</v>
      </c>
      <c r="B817" s="81" t="s">
        <v>283</v>
      </c>
      <c r="C817" s="81" t="s">
        <v>481</v>
      </c>
      <c r="D817" s="139" t="s">
        <v>1099</v>
      </c>
      <c r="E817" s="134"/>
      <c r="F817" s="134"/>
      <c r="G817" s="140"/>
      <c r="H817" s="81" t="s">
        <v>1538</v>
      </c>
      <c r="I817" s="87">
        <v>2</v>
      </c>
      <c r="J817" s="87">
        <v>0</v>
      </c>
      <c r="K817" s="87">
        <f>I817*AO817</f>
        <v>0</v>
      </c>
      <c r="L817" s="87">
        <f>I817*AP817</f>
        <v>0</v>
      </c>
      <c r="M817" s="87">
        <f>I817*J817</f>
        <v>0</v>
      </c>
      <c r="N817" s="77" t="s">
        <v>1554</v>
      </c>
      <c r="O817" s="67"/>
      <c r="Z817" s="28">
        <f>IF(AQ817="5",BJ817,0)</f>
        <v>0</v>
      </c>
      <c r="AB817" s="28">
        <f>IF(AQ817="1",BH817,0)</f>
        <v>0</v>
      </c>
      <c r="AC817" s="28">
        <f>IF(AQ817="1",BI817,0)</f>
        <v>0</v>
      </c>
      <c r="AD817" s="28">
        <f>IF(AQ817="7",BH817,0)</f>
        <v>0</v>
      </c>
      <c r="AE817" s="28">
        <f>IF(AQ817="7",BI817,0)</f>
        <v>0</v>
      </c>
      <c r="AF817" s="28">
        <f>IF(AQ817="2",BH817,0)</f>
        <v>0</v>
      </c>
      <c r="AG817" s="28">
        <f>IF(AQ817="2",BI817,0)</f>
        <v>0</v>
      </c>
      <c r="AH817" s="28">
        <f>IF(AQ817="0",BJ817,0)</f>
        <v>0</v>
      </c>
      <c r="AI817" s="27" t="s">
        <v>283</v>
      </c>
      <c r="AJ817" s="18">
        <f>IF(AN817=0,M817,0)</f>
        <v>0</v>
      </c>
      <c r="AK817" s="18">
        <f>IF(AN817=15,M817,0)</f>
        <v>0</v>
      </c>
      <c r="AL817" s="18">
        <f>IF(AN817=21,M817,0)</f>
        <v>0</v>
      </c>
      <c r="AN817" s="28">
        <v>15</v>
      </c>
      <c r="AO817" s="28">
        <f>J817*1</f>
        <v>0</v>
      </c>
      <c r="AP817" s="28">
        <f>J817*(1-1)</f>
        <v>0</v>
      </c>
      <c r="AQ817" s="29" t="s">
        <v>13</v>
      </c>
      <c r="AV817" s="28">
        <f>AW817+AX817</f>
        <v>0</v>
      </c>
      <c r="AW817" s="28">
        <f>I817*AO817</f>
        <v>0</v>
      </c>
      <c r="AX817" s="28">
        <f>I817*AP817</f>
        <v>0</v>
      </c>
      <c r="AY817" s="31" t="s">
        <v>1596</v>
      </c>
      <c r="AZ817" s="31" t="s">
        <v>1622</v>
      </c>
      <c r="BA817" s="27" t="s">
        <v>1628</v>
      </c>
      <c r="BC817" s="28">
        <f>AW817+AX817</f>
        <v>0</v>
      </c>
      <c r="BD817" s="28">
        <f>J817/(100-BE817)*100</f>
        <v>0</v>
      </c>
      <c r="BE817" s="28">
        <v>0</v>
      </c>
      <c r="BF817" s="28">
        <f>817</f>
        <v>817</v>
      </c>
      <c r="BH817" s="18">
        <f>I817*AO817</f>
        <v>0</v>
      </c>
      <c r="BI817" s="18">
        <f>I817*AP817</f>
        <v>0</v>
      </c>
      <c r="BJ817" s="18">
        <f>I817*J817</f>
        <v>0</v>
      </c>
      <c r="BK817" s="18" t="s">
        <v>1634</v>
      </c>
      <c r="BL817" s="28">
        <v>767</v>
      </c>
    </row>
    <row r="818" spans="1:15" ht="12.75">
      <c r="A818" s="82"/>
      <c r="B818" s="83"/>
      <c r="C818" s="83"/>
      <c r="D818" s="85" t="s">
        <v>8</v>
      </c>
      <c r="G818" s="86" t="s">
        <v>1482</v>
      </c>
      <c r="H818" s="83"/>
      <c r="I818" s="88">
        <v>2</v>
      </c>
      <c r="J818" s="83"/>
      <c r="K818" s="83"/>
      <c r="L818" s="83"/>
      <c r="M818" s="83"/>
      <c r="N818" s="80"/>
      <c r="O818" s="67"/>
    </row>
    <row r="819" spans="1:15" ht="12.75">
      <c r="A819" s="3"/>
      <c r="C819" s="13" t="s">
        <v>302</v>
      </c>
      <c r="D819" s="145" t="s">
        <v>1100</v>
      </c>
      <c r="E819" s="146"/>
      <c r="F819" s="146"/>
      <c r="G819" s="146"/>
      <c r="H819" s="146"/>
      <c r="I819" s="146"/>
      <c r="J819" s="146"/>
      <c r="K819" s="146"/>
      <c r="L819" s="146"/>
      <c r="M819" s="146"/>
      <c r="N819" s="147"/>
      <c r="O819" s="3"/>
    </row>
    <row r="820" spans="1:15" ht="12.75">
      <c r="A820" s="3"/>
      <c r="C820" s="12" t="s">
        <v>296</v>
      </c>
      <c r="D820" s="142" t="s">
        <v>1065</v>
      </c>
      <c r="E820" s="143"/>
      <c r="F820" s="143"/>
      <c r="G820" s="143"/>
      <c r="H820" s="143"/>
      <c r="I820" s="143"/>
      <c r="J820" s="143"/>
      <c r="K820" s="143"/>
      <c r="L820" s="143"/>
      <c r="M820" s="143"/>
      <c r="N820" s="144"/>
      <c r="O820" s="3"/>
    </row>
    <row r="821" spans="1:64" ht="12.75">
      <c r="A821" s="74" t="s">
        <v>189</v>
      </c>
      <c r="B821" s="74" t="s">
        <v>283</v>
      </c>
      <c r="C821" s="74" t="s">
        <v>482</v>
      </c>
      <c r="D821" s="133" t="s">
        <v>1101</v>
      </c>
      <c r="E821" s="134"/>
      <c r="F821" s="134"/>
      <c r="G821" s="135"/>
      <c r="H821" s="74" t="s">
        <v>1537</v>
      </c>
      <c r="I821" s="75">
        <v>326</v>
      </c>
      <c r="J821" s="75">
        <v>0</v>
      </c>
      <c r="K821" s="75">
        <f>I821*AO821</f>
        <v>0</v>
      </c>
      <c r="L821" s="75">
        <f>I821*AP821</f>
        <v>0</v>
      </c>
      <c r="M821" s="75">
        <f>I821*J821</f>
        <v>0</v>
      </c>
      <c r="N821" s="78" t="s">
        <v>1556</v>
      </c>
      <c r="O821" s="67"/>
      <c r="Z821" s="28">
        <f>IF(AQ821="5",BJ821,0)</f>
        <v>0</v>
      </c>
      <c r="AB821" s="28">
        <f>IF(AQ821="1",BH821,0)</f>
        <v>0</v>
      </c>
      <c r="AC821" s="28">
        <f>IF(AQ821="1",BI821,0)</f>
        <v>0</v>
      </c>
      <c r="AD821" s="28">
        <f>IF(AQ821="7",BH821,0)</f>
        <v>0</v>
      </c>
      <c r="AE821" s="28">
        <f>IF(AQ821="7",BI821,0)</f>
        <v>0</v>
      </c>
      <c r="AF821" s="28">
        <f>IF(AQ821="2",BH821,0)</f>
        <v>0</v>
      </c>
      <c r="AG821" s="28">
        <f>IF(AQ821="2",BI821,0)</f>
        <v>0</v>
      </c>
      <c r="AH821" s="28">
        <f>IF(AQ821="0",BJ821,0)</f>
        <v>0</v>
      </c>
      <c r="AI821" s="27" t="s">
        <v>283</v>
      </c>
      <c r="AJ821" s="18">
        <f>IF(AN821=0,M821,0)</f>
        <v>0</v>
      </c>
      <c r="AK821" s="18">
        <f>IF(AN821=15,M821,0)</f>
        <v>0</v>
      </c>
      <c r="AL821" s="18">
        <f>IF(AN821=21,M821,0)</f>
        <v>0</v>
      </c>
      <c r="AN821" s="28">
        <v>15</v>
      </c>
      <c r="AO821" s="28">
        <f>J821*0.543349753694581</f>
        <v>0</v>
      </c>
      <c r="AP821" s="28">
        <f>J821*(1-0.543349753694581)</f>
        <v>0</v>
      </c>
      <c r="AQ821" s="29" t="s">
        <v>13</v>
      </c>
      <c r="AV821" s="28">
        <f>AW821+AX821</f>
        <v>0</v>
      </c>
      <c r="AW821" s="28">
        <f>I821*AO821</f>
        <v>0</v>
      </c>
      <c r="AX821" s="28">
        <f>I821*AP821</f>
        <v>0</v>
      </c>
      <c r="AY821" s="31" t="s">
        <v>1596</v>
      </c>
      <c r="AZ821" s="31" t="s">
        <v>1622</v>
      </c>
      <c r="BA821" s="27" t="s">
        <v>1628</v>
      </c>
      <c r="BC821" s="28">
        <f>AW821+AX821</f>
        <v>0</v>
      </c>
      <c r="BD821" s="28">
        <f>J821/(100-BE821)*100</f>
        <v>0</v>
      </c>
      <c r="BE821" s="28">
        <v>0</v>
      </c>
      <c r="BF821" s="28">
        <f>821</f>
        <v>821</v>
      </c>
      <c r="BH821" s="18">
        <f>I821*AO821</f>
        <v>0</v>
      </c>
      <c r="BI821" s="18">
        <f>I821*AP821</f>
        <v>0</v>
      </c>
      <c r="BJ821" s="18">
        <f>I821*J821</f>
        <v>0</v>
      </c>
      <c r="BK821" s="18" t="s">
        <v>1634</v>
      </c>
      <c r="BL821" s="28">
        <v>767</v>
      </c>
    </row>
    <row r="822" spans="1:15" ht="12.75">
      <c r="A822" s="3"/>
      <c r="D822" s="136" t="s">
        <v>1102</v>
      </c>
      <c r="E822" s="137"/>
      <c r="F822" s="137"/>
      <c r="G822" s="137"/>
      <c r="H822" s="137"/>
      <c r="I822" s="137"/>
      <c r="J822" s="137"/>
      <c r="K822" s="137"/>
      <c r="L822" s="137"/>
      <c r="M822" s="137"/>
      <c r="N822" s="138"/>
      <c r="O822" s="3"/>
    </row>
    <row r="823" spans="1:15" ht="12.75">
      <c r="A823" s="89"/>
      <c r="B823" s="90"/>
      <c r="C823" s="90"/>
      <c r="D823" s="84" t="s">
        <v>1103</v>
      </c>
      <c r="G823" s="91" t="s">
        <v>1483</v>
      </c>
      <c r="H823" s="90"/>
      <c r="I823" s="92">
        <v>196</v>
      </c>
      <c r="J823" s="90"/>
      <c r="K823" s="90"/>
      <c r="L823" s="90"/>
      <c r="M823" s="90"/>
      <c r="N823" s="79"/>
      <c r="O823" s="67"/>
    </row>
    <row r="824" spans="1:15" ht="12.75">
      <c r="A824" s="82"/>
      <c r="B824" s="83"/>
      <c r="C824" s="83"/>
      <c r="D824" s="85" t="s">
        <v>1104</v>
      </c>
      <c r="G824" s="86" t="s">
        <v>1484</v>
      </c>
      <c r="H824" s="83"/>
      <c r="I824" s="88">
        <v>130</v>
      </c>
      <c r="J824" s="83"/>
      <c r="K824" s="83"/>
      <c r="L824" s="83"/>
      <c r="M824" s="83"/>
      <c r="N824" s="80"/>
      <c r="O824" s="67"/>
    </row>
    <row r="825" spans="1:15" ht="12.75">
      <c r="A825" s="3"/>
      <c r="C825" s="12" t="s">
        <v>296</v>
      </c>
      <c r="D825" s="142" t="s">
        <v>1105</v>
      </c>
      <c r="E825" s="143"/>
      <c r="F825" s="143"/>
      <c r="G825" s="143"/>
      <c r="H825" s="143"/>
      <c r="I825" s="143"/>
      <c r="J825" s="143"/>
      <c r="K825" s="143"/>
      <c r="L825" s="143"/>
      <c r="M825" s="143"/>
      <c r="N825" s="144"/>
      <c r="O825" s="3"/>
    </row>
    <row r="826" spans="1:64" ht="12.75">
      <c r="A826" s="74" t="s">
        <v>190</v>
      </c>
      <c r="B826" s="74" t="s">
        <v>283</v>
      </c>
      <c r="C826" s="74" t="s">
        <v>483</v>
      </c>
      <c r="D826" s="133" t="s">
        <v>1106</v>
      </c>
      <c r="E826" s="134"/>
      <c r="F826" s="134"/>
      <c r="G826" s="135"/>
      <c r="H826" s="74" t="s">
        <v>1537</v>
      </c>
      <c r="I826" s="75">
        <v>430</v>
      </c>
      <c r="J826" s="75">
        <v>0</v>
      </c>
      <c r="K826" s="75">
        <f>I826*AO826</f>
        <v>0</v>
      </c>
      <c r="L826" s="75">
        <f>I826*AP826</f>
        <v>0</v>
      </c>
      <c r="M826" s="75">
        <f>I826*J826</f>
        <v>0</v>
      </c>
      <c r="N826" s="78" t="s">
        <v>1556</v>
      </c>
      <c r="O826" s="67"/>
      <c r="Z826" s="28">
        <f>IF(AQ826="5",BJ826,0)</f>
        <v>0</v>
      </c>
      <c r="AB826" s="28">
        <f>IF(AQ826="1",BH826,0)</f>
        <v>0</v>
      </c>
      <c r="AC826" s="28">
        <f>IF(AQ826="1",BI826,0)</f>
        <v>0</v>
      </c>
      <c r="AD826" s="28">
        <f>IF(AQ826="7",BH826,0)</f>
        <v>0</v>
      </c>
      <c r="AE826" s="28">
        <f>IF(AQ826="7",BI826,0)</f>
        <v>0</v>
      </c>
      <c r="AF826" s="28">
        <f>IF(AQ826="2",BH826,0)</f>
        <v>0</v>
      </c>
      <c r="AG826" s="28">
        <f>IF(AQ826="2",BI826,0)</f>
        <v>0</v>
      </c>
      <c r="AH826" s="28">
        <f>IF(AQ826="0",BJ826,0)</f>
        <v>0</v>
      </c>
      <c r="AI826" s="27" t="s">
        <v>283</v>
      </c>
      <c r="AJ826" s="18">
        <f>IF(AN826=0,M826,0)</f>
        <v>0</v>
      </c>
      <c r="AK826" s="18">
        <f>IF(AN826=15,M826,0)</f>
        <v>0</v>
      </c>
      <c r="AL826" s="18">
        <f>IF(AN826=21,M826,0)</f>
        <v>0</v>
      </c>
      <c r="AN826" s="28">
        <v>15</v>
      </c>
      <c r="AO826" s="28">
        <f>J826*0.224293785310734</f>
        <v>0</v>
      </c>
      <c r="AP826" s="28">
        <f>J826*(1-0.224293785310734)</f>
        <v>0</v>
      </c>
      <c r="AQ826" s="29" t="s">
        <v>13</v>
      </c>
      <c r="AV826" s="28">
        <f>AW826+AX826</f>
        <v>0</v>
      </c>
      <c r="AW826" s="28">
        <f>I826*AO826</f>
        <v>0</v>
      </c>
      <c r="AX826" s="28">
        <f>I826*AP826</f>
        <v>0</v>
      </c>
      <c r="AY826" s="31" t="s">
        <v>1596</v>
      </c>
      <c r="AZ826" s="31" t="s">
        <v>1622</v>
      </c>
      <c r="BA826" s="27" t="s">
        <v>1628</v>
      </c>
      <c r="BC826" s="28">
        <f>AW826+AX826</f>
        <v>0</v>
      </c>
      <c r="BD826" s="28">
        <f>J826/(100-BE826)*100</f>
        <v>0</v>
      </c>
      <c r="BE826" s="28">
        <v>0</v>
      </c>
      <c r="BF826" s="28">
        <f>826</f>
        <v>826</v>
      </c>
      <c r="BH826" s="18">
        <f>I826*AO826</f>
        <v>0</v>
      </c>
      <c r="BI826" s="18">
        <f>I826*AP826</f>
        <v>0</v>
      </c>
      <c r="BJ826" s="18">
        <f>I826*J826</f>
        <v>0</v>
      </c>
      <c r="BK826" s="18" t="s">
        <v>1634</v>
      </c>
      <c r="BL826" s="28">
        <v>767</v>
      </c>
    </row>
    <row r="827" spans="1:15" ht="12.75">
      <c r="A827" s="3"/>
      <c r="D827" s="136" t="s">
        <v>1107</v>
      </c>
      <c r="E827" s="137"/>
      <c r="F827" s="137"/>
      <c r="G827" s="137"/>
      <c r="H827" s="137"/>
      <c r="I827" s="137"/>
      <c r="J827" s="137"/>
      <c r="K827" s="137"/>
      <c r="L827" s="137"/>
      <c r="M827" s="137"/>
      <c r="N827" s="138"/>
      <c r="O827" s="3"/>
    </row>
    <row r="828" spans="1:15" ht="12.75">
      <c r="A828" s="89"/>
      <c r="B828" s="90"/>
      <c r="C828" s="90"/>
      <c r="D828" s="84" t="s">
        <v>1104</v>
      </c>
      <c r="G828" s="91" t="s">
        <v>1485</v>
      </c>
      <c r="H828" s="90"/>
      <c r="I828" s="92">
        <v>130</v>
      </c>
      <c r="J828" s="90"/>
      <c r="K828" s="90"/>
      <c r="L828" s="90"/>
      <c r="M828" s="90"/>
      <c r="N828" s="79"/>
      <c r="O828" s="67"/>
    </row>
    <row r="829" spans="1:15" ht="12.75">
      <c r="A829" s="82"/>
      <c r="B829" s="83"/>
      <c r="C829" s="83"/>
      <c r="D829" s="85" t="s">
        <v>1108</v>
      </c>
      <c r="G829" s="86" t="s">
        <v>1486</v>
      </c>
      <c r="H829" s="83"/>
      <c r="I829" s="88">
        <v>300</v>
      </c>
      <c r="J829" s="83"/>
      <c r="K829" s="83"/>
      <c r="L829" s="83"/>
      <c r="M829" s="83"/>
      <c r="N829" s="80"/>
      <c r="O829" s="67"/>
    </row>
    <row r="830" spans="1:15" ht="12.75">
      <c r="A830" s="3"/>
      <c r="C830" s="12" t="s">
        <v>296</v>
      </c>
      <c r="D830" s="142" t="s">
        <v>877</v>
      </c>
      <c r="E830" s="143"/>
      <c r="F830" s="143"/>
      <c r="G830" s="143"/>
      <c r="H830" s="143"/>
      <c r="I830" s="143"/>
      <c r="J830" s="143"/>
      <c r="K830" s="143"/>
      <c r="L830" s="143"/>
      <c r="M830" s="143"/>
      <c r="N830" s="144"/>
      <c r="O830" s="3"/>
    </row>
    <row r="831" spans="1:64" ht="12.75">
      <c r="A831" s="74" t="s">
        <v>191</v>
      </c>
      <c r="B831" s="74" t="s">
        <v>283</v>
      </c>
      <c r="C831" s="74" t="s">
        <v>484</v>
      </c>
      <c r="D831" s="133" t="s">
        <v>1109</v>
      </c>
      <c r="E831" s="134"/>
      <c r="F831" s="134"/>
      <c r="G831" s="135"/>
      <c r="H831" s="74" t="s">
        <v>1537</v>
      </c>
      <c r="I831" s="75">
        <v>70</v>
      </c>
      <c r="J831" s="75">
        <v>0</v>
      </c>
      <c r="K831" s="75">
        <f>I831*AO831</f>
        <v>0</v>
      </c>
      <c r="L831" s="75">
        <f>I831*AP831</f>
        <v>0</v>
      </c>
      <c r="M831" s="75">
        <f>I831*J831</f>
        <v>0</v>
      </c>
      <c r="N831" s="78" t="s">
        <v>1556</v>
      </c>
      <c r="O831" s="67"/>
      <c r="Z831" s="28">
        <f>IF(AQ831="5",BJ831,0)</f>
        <v>0</v>
      </c>
      <c r="AB831" s="28">
        <f>IF(AQ831="1",BH831,0)</f>
        <v>0</v>
      </c>
      <c r="AC831" s="28">
        <f>IF(AQ831="1",BI831,0)</f>
        <v>0</v>
      </c>
      <c r="AD831" s="28">
        <f>IF(AQ831="7",BH831,0)</f>
        <v>0</v>
      </c>
      <c r="AE831" s="28">
        <f>IF(AQ831="7",BI831,0)</f>
        <v>0</v>
      </c>
      <c r="AF831" s="28">
        <f>IF(AQ831="2",BH831,0)</f>
        <v>0</v>
      </c>
      <c r="AG831" s="28">
        <f>IF(AQ831="2",BI831,0)</f>
        <v>0</v>
      </c>
      <c r="AH831" s="28">
        <f>IF(AQ831="0",BJ831,0)</f>
        <v>0</v>
      </c>
      <c r="AI831" s="27" t="s">
        <v>283</v>
      </c>
      <c r="AJ831" s="18">
        <f>IF(AN831=0,M831,0)</f>
        <v>0</v>
      </c>
      <c r="AK831" s="18">
        <f>IF(AN831=15,M831,0)</f>
        <v>0</v>
      </c>
      <c r="AL831" s="18">
        <f>IF(AN831=21,M831,0)</f>
        <v>0</v>
      </c>
      <c r="AN831" s="28">
        <v>15</v>
      </c>
      <c r="AO831" s="28">
        <f>J831*0.179750778816199</f>
        <v>0</v>
      </c>
      <c r="AP831" s="28">
        <f>J831*(1-0.179750778816199)</f>
        <v>0</v>
      </c>
      <c r="AQ831" s="29" t="s">
        <v>13</v>
      </c>
      <c r="AV831" s="28">
        <f>AW831+AX831</f>
        <v>0</v>
      </c>
      <c r="AW831" s="28">
        <f>I831*AO831</f>
        <v>0</v>
      </c>
      <c r="AX831" s="28">
        <f>I831*AP831</f>
        <v>0</v>
      </c>
      <c r="AY831" s="31" t="s">
        <v>1596</v>
      </c>
      <c r="AZ831" s="31" t="s">
        <v>1622</v>
      </c>
      <c r="BA831" s="27" t="s">
        <v>1628</v>
      </c>
      <c r="BC831" s="28">
        <f>AW831+AX831</f>
        <v>0</v>
      </c>
      <c r="BD831" s="28">
        <f>J831/(100-BE831)*100</f>
        <v>0</v>
      </c>
      <c r="BE831" s="28">
        <v>0</v>
      </c>
      <c r="BF831" s="28">
        <f>831</f>
        <v>831</v>
      </c>
      <c r="BH831" s="18">
        <f>I831*AO831</f>
        <v>0</v>
      </c>
      <c r="BI831" s="18">
        <f>I831*AP831</f>
        <v>0</v>
      </c>
      <c r="BJ831" s="18">
        <f>I831*J831</f>
        <v>0</v>
      </c>
      <c r="BK831" s="18" t="s">
        <v>1634</v>
      </c>
      <c r="BL831" s="28">
        <v>767</v>
      </c>
    </row>
    <row r="832" spans="1:15" ht="12.75">
      <c r="A832" s="3"/>
      <c r="D832" s="136" t="s">
        <v>1110</v>
      </c>
      <c r="E832" s="137"/>
      <c r="F832" s="137"/>
      <c r="G832" s="137"/>
      <c r="H832" s="137"/>
      <c r="I832" s="137"/>
      <c r="J832" s="137"/>
      <c r="K832" s="137"/>
      <c r="L832" s="137"/>
      <c r="M832" s="137"/>
      <c r="N832" s="138"/>
      <c r="O832" s="3"/>
    </row>
    <row r="833" spans="1:15" ht="12.75">
      <c r="A833" s="89"/>
      <c r="B833" s="90"/>
      <c r="C833" s="90"/>
      <c r="D833" s="84" t="s">
        <v>31</v>
      </c>
      <c r="G833" s="91" t="s">
        <v>1487</v>
      </c>
      <c r="H833" s="90"/>
      <c r="I833" s="92">
        <v>25</v>
      </c>
      <c r="J833" s="90"/>
      <c r="K833" s="90"/>
      <c r="L833" s="90"/>
      <c r="M833" s="90"/>
      <c r="N833" s="79"/>
      <c r="O833" s="67"/>
    </row>
    <row r="834" spans="1:15" ht="12.75">
      <c r="A834" s="82"/>
      <c r="B834" s="83"/>
      <c r="C834" s="83"/>
      <c r="D834" s="85" t="s">
        <v>1111</v>
      </c>
      <c r="G834" s="86" t="s">
        <v>1488</v>
      </c>
      <c r="H834" s="83"/>
      <c r="I834" s="88">
        <v>45</v>
      </c>
      <c r="J834" s="83"/>
      <c r="K834" s="83"/>
      <c r="L834" s="83"/>
      <c r="M834" s="83"/>
      <c r="N834" s="80"/>
      <c r="O834" s="67"/>
    </row>
    <row r="835" spans="1:15" ht="12.75">
      <c r="A835" s="3"/>
      <c r="C835" s="13" t="s">
        <v>302</v>
      </c>
      <c r="D835" s="145" t="s">
        <v>1112</v>
      </c>
      <c r="E835" s="146"/>
      <c r="F835" s="146"/>
      <c r="G835" s="146"/>
      <c r="H835" s="146"/>
      <c r="I835" s="146"/>
      <c r="J835" s="146"/>
      <c r="K835" s="146"/>
      <c r="L835" s="146"/>
      <c r="M835" s="146"/>
      <c r="N835" s="147"/>
      <c r="O835" s="3"/>
    </row>
    <row r="836" spans="1:15" ht="12.75">
      <c r="A836" s="3"/>
      <c r="C836" s="12" t="s">
        <v>296</v>
      </c>
      <c r="D836" s="142" t="s">
        <v>877</v>
      </c>
      <c r="E836" s="143"/>
      <c r="F836" s="143"/>
      <c r="G836" s="143"/>
      <c r="H836" s="143"/>
      <c r="I836" s="143"/>
      <c r="J836" s="143"/>
      <c r="K836" s="143"/>
      <c r="L836" s="143"/>
      <c r="M836" s="143"/>
      <c r="N836" s="144"/>
      <c r="O836" s="3"/>
    </row>
    <row r="837" spans="1:64" ht="12.75">
      <c r="A837" s="81" t="s">
        <v>192</v>
      </c>
      <c r="B837" s="81" t="s">
        <v>283</v>
      </c>
      <c r="C837" s="81" t="s">
        <v>485</v>
      </c>
      <c r="D837" s="139" t="s">
        <v>1113</v>
      </c>
      <c r="E837" s="134"/>
      <c r="F837" s="134"/>
      <c r="G837" s="140"/>
      <c r="H837" s="81" t="s">
        <v>1538</v>
      </c>
      <c r="I837" s="87">
        <v>2</v>
      </c>
      <c r="J837" s="87">
        <v>0</v>
      </c>
      <c r="K837" s="87">
        <f>I837*AO837</f>
        <v>0</v>
      </c>
      <c r="L837" s="87">
        <f>I837*AP837</f>
        <v>0</v>
      </c>
      <c r="M837" s="87">
        <f>I837*J837</f>
        <v>0</v>
      </c>
      <c r="N837" s="77" t="s">
        <v>1556</v>
      </c>
      <c r="O837" s="67"/>
      <c r="Z837" s="28">
        <f>IF(AQ837="5",BJ837,0)</f>
        <v>0</v>
      </c>
      <c r="AB837" s="28">
        <f>IF(AQ837="1",BH837,0)</f>
        <v>0</v>
      </c>
      <c r="AC837" s="28">
        <f>IF(AQ837="1",BI837,0)</f>
        <v>0</v>
      </c>
      <c r="AD837" s="28">
        <f>IF(AQ837="7",BH837,0)</f>
        <v>0</v>
      </c>
      <c r="AE837" s="28">
        <f>IF(AQ837="7",BI837,0)</f>
        <v>0</v>
      </c>
      <c r="AF837" s="28">
        <f>IF(AQ837="2",BH837,0)</f>
        <v>0</v>
      </c>
      <c r="AG837" s="28">
        <f>IF(AQ837="2",BI837,0)</f>
        <v>0</v>
      </c>
      <c r="AH837" s="28">
        <f>IF(AQ837="0",BJ837,0)</f>
        <v>0</v>
      </c>
      <c r="AI837" s="27" t="s">
        <v>283</v>
      </c>
      <c r="AJ837" s="18">
        <f>IF(AN837=0,M837,0)</f>
        <v>0</v>
      </c>
      <c r="AK837" s="18">
        <f>IF(AN837=15,M837,0)</f>
        <v>0</v>
      </c>
      <c r="AL837" s="18">
        <f>IF(AN837=21,M837,0)</f>
        <v>0</v>
      </c>
      <c r="AN837" s="28">
        <v>15</v>
      </c>
      <c r="AO837" s="28">
        <f>J837*0.00588996763754045</f>
        <v>0</v>
      </c>
      <c r="AP837" s="28">
        <f>J837*(1-0.00588996763754045)</f>
        <v>0</v>
      </c>
      <c r="AQ837" s="29" t="s">
        <v>13</v>
      </c>
      <c r="AV837" s="28">
        <f>AW837+AX837</f>
        <v>0</v>
      </c>
      <c r="AW837" s="28">
        <f>I837*AO837</f>
        <v>0</v>
      </c>
      <c r="AX837" s="28">
        <f>I837*AP837</f>
        <v>0</v>
      </c>
      <c r="AY837" s="31" t="s">
        <v>1596</v>
      </c>
      <c r="AZ837" s="31" t="s">
        <v>1622</v>
      </c>
      <c r="BA837" s="27" t="s">
        <v>1628</v>
      </c>
      <c r="BC837" s="28">
        <f>AW837+AX837</f>
        <v>0</v>
      </c>
      <c r="BD837" s="28">
        <f>J837/(100-BE837)*100</f>
        <v>0</v>
      </c>
      <c r="BE837" s="28">
        <v>0</v>
      </c>
      <c r="BF837" s="28">
        <f>837</f>
        <v>837</v>
      </c>
      <c r="BH837" s="18">
        <f>I837*AO837</f>
        <v>0</v>
      </c>
      <c r="BI837" s="18">
        <f>I837*AP837</f>
        <v>0</v>
      </c>
      <c r="BJ837" s="18">
        <f>I837*J837</f>
        <v>0</v>
      </c>
      <c r="BK837" s="18" t="s">
        <v>1634</v>
      </c>
      <c r="BL837" s="28">
        <v>767</v>
      </c>
    </row>
    <row r="838" spans="1:15" ht="12.75">
      <c r="A838" s="82"/>
      <c r="B838" s="83"/>
      <c r="C838" s="83"/>
      <c r="D838" s="85" t="s">
        <v>8</v>
      </c>
      <c r="G838" s="86" t="s">
        <v>1489</v>
      </c>
      <c r="H838" s="83"/>
      <c r="I838" s="88">
        <v>2</v>
      </c>
      <c r="J838" s="83"/>
      <c r="K838" s="83"/>
      <c r="L838" s="83"/>
      <c r="M838" s="83"/>
      <c r="N838" s="80"/>
      <c r="O838" s="67"/>
    </row>
    <row r="839" spans="1:15" ht="12.75">
      <c r="A839" s="3"/>
      <c r="C839" s="12" t="s">
        <v>296</v>
      </c>
      <c r="D839" s="142" t="s">
        <v>869</v>
      </c>
      <c r="E839" s="143"/>
      <c r="F839" s="143"/>
      <c r="G839" s="143"/>
      <c r="H839" s="143"/>
      <c r="I839" s="143"/>
      <c r="J839" s="143"/>
      <c r="K839" s="143"/>
      <c r="L839" s="143"/>
      <c r="M839" s="143"/>
      <c r="N839" s="144"/>
      <c r="O839" s="3"/>
    </row>
    <row r="840" spans="1:64" ht="12.75">
      <c r="A840" s="94" t="s">
        <v>193</v>
      </c>
      <c r="B840" s="94" t="s">
        <v>283</v>
      </c>
      <c r="C840" s="94" t="s">
        <v>486</v>
      </c>
      <c r="D840" s="148" t="s">
        <v>1114</v>
      </c>
      <c r="E840" s="149"/>
      <c r="F840" s="149"/>
      <c r="G840" s="150"/>
      <c r="H840" s="94" t="s">
        <v>1538</v>
      </c>
      <c r="I840" s="95">
        <v>2</v>
      </c>
      <c r="J840" s="95">
        <v>0</v>
      </c>
      <c r="K840" s="95">
        <f>I840*AO840</f>
        <v>0</v>
      </c>
      <c r="L840" s="95">
        <f>I840*AP840</f>
        <v>0</v>
      </c>
      <c r="M840" s="95">
        <f>I840*J840</f>
        <v>0</v>
      </c>
      <c r="N840" s="93" t="s">
        <v>1556</v>
      </c>
      <c r="O840" s="67"/>
      <c r="Z840" s="28">
        <f>IF(AQ840="5",BJ840,0)</f>
        <v>0</v>
      </c>
      <c r="AB840" s="28">
        <f>IF(AQ840="1",BH840,0)</f>
        <v>0</v>
      </c>
      <c r="AC840" s="28">
        <f>IF(AQ840="1",BI840,0)</f>
        <v>0</v>
      </c>
      <c r="AD840" s="28">
        <f>IF(AQ840="7",BH840,0)</f>
        <v>0</v>
      </c>
      <c r="AE840" s="28">
        <f>IF(AQ840="7",BI840,0)</f>
        <v>0</v>
      </c>
      <c r="AF840" s="28">
        <f>IF(AQ840="2",BH840,0)</f>
        <v>0</v>
      </c>
      <c r="AG840" s="28">
        <f>IF(AQ840="2",BI840,0)</f>
        <v>0</v>
      </c>
      <c r="AH840" s="28">
        <f>IF(AQ840="0",BJ840,0)</f>
        <v>0</v>
      </c>
      <c r="AI840" s="27" t="s">
        <v>283</v>
      </c>
      <c r="AJ840" s="20">
        <f>IF(AN840=0,M840,0)</f>
        <v>0</v>
      </c>
      <c r="AK840" s="20">
        <f>IF(AN840=15,M840,0)</f>
        <v>0</v>
      </c>
      <c r="AL840" s="20">
        <f>IF(AN840=21,M840,0)</f>
        <v>0</v>
      </c>
      <c r="AN840" s="28">
        <v>15</v>
      </c>
      <c r="AO840" s="28">
        <f>J840*1</f>
        <v>0</v>
      </c>
      <c r="AP840" s="28">
        <f>J840*(1-1)</f>
        <v>0</v>
      </c>
      <c r="AQ840" s="30" t="s">
        <v>13</v>
      </c>
      <c r="AV840" s="28">
        <f>AW840+AX840</f>
        <v>0</v>
      </c>
      <c r="AW840" s="28">
        <f>I840*AO840</f>
        <v>0</v>
      </c>
      <c r="AX840" s="28">
        <f>I840*AP840</f>
        <v>0</v>
      </c>
      <c r="AY840" s="31" t="s">
        <v>1596</v>
      </c>
      <c r="AZ840" s="31" t="s">
        <v>1622</v>
      </c>
      <c r="BA840" s="27" t="s">
        <v>1628</v>
      </c>
      <c r="BC840" s="28">
        <f>AW840+AX840</f>
        <v>0</v>
      </c>
      <c r="BD840" s="28">
        <f>J840/(100-BE840)*100</f>
        <v>0</v>
      </c>
      <c r="BE840" s="28">
        <v>0</v>
      </c>
      <c r="BF840" s="28">
        <f>840</f>
        <v>840</v>
      </c>
      <c r="BH840" s="20">
        <f>I840*AO840</f>
        <v>0</v>
      </c>
      <c r="BI840" s="20">
        <f>I840*AP840</f>
        <v>0</v>
      </c>
      <c r="BJ840" s="20">
        <f>I840*J840</f>
        <v>0</v>
      </c>
      <c r="BK840" s="20" t="s">
        <v>1635</v>
      </c>
      <c r="BL840" s="28">
        <v>767</v>
      </c>
    </row>
    <row r="841" spans="1:15" ht="12.75">
      <c r="A841" s="82"/>
      <c r="B841" s="83"/>
      <c r="C841" s="83"/>
      <c r="D841" s="85" t="s">
        <v>8</v>
      </c>
      <c r="G841" s="86" t="s">
        <v>1489</v>
      </c>
      <c r="H841" s="83"/>
      <c r="I841" s="88">
        <v>2</v>
      </c>
      <c r="J841" s="83"/>
      <c r="K841" s="83"/>
      <c r="L841" s="83"/>
      <c r="M841" s="83"/>
      <c r="N841" s="80"/>
      <c r="O841" s="67"/>
    </row>
    <row r="842" spans="1:15" ht="25.5" customHeight="1">
      <c r="A842" s="3"/>
      <c r="C842" s="13" t="s">
        <v>302</v>
      </c>
      <c r="D842" s="145" t="s">
        <v>1115</v>
      </c>
      <c r="E842" s="146"/>
      <c r="F842" s="146"/>
      <c r="G842" s="146"/>
      <c r="H842" s="146"/>
      <c r="I842" s="146"/>
      <c r="J842" s="146"/>
      <c r="K842" s="146"/>
      <c r="L842" s="146"/>
      <c r="M842" s="146"/>
      <c r="N842" s="147"/>
      <c r="O842" s="3"/>
    </row>
    <row r="843" spans="1:15" ht="12.75">
      <c r="A843" s="3"/>
      <c r="C843" s="12" t="s">
        <v>296</v>
      </c>
      <c r="D843" s="142" t="s">
        <v>869</v>
      </c>
      <c r="E843" s="143"/>
      <c r="F843" s="143"/>
      <c r="G843" s="143"/>
      <c r="H843" s="143"/>
      <c r="I843" s="143"/>
      <c r="J843" s="143"/>
      <c r="K843" s="143"/>
      <c r="L843" s="143"/>
      <c r="M843" s="143"/>
      <c r="N843" s="144"/>
      <c r="O843" s="3"/>
    </row>
    <row r="844" spans="1:64" ht="12.75">
      <c r="A844" s="81" t="s">
        <v>194</v>
      </c>
      <c r="B844" s="81" t="s">
        <v>283</v>
      </c>
      <c r="C844" s="81" t="s">
        <v>487</v>
      </c>
      <c r="D844" s="139" t="s">
        <v>1116</v>
      </c>
      <c r="E844" s="134"/>
      <c r="F844" s="134"/>
      <c r="G844" s="140"/>
      <c r="H844" s="81" t="s">
        <v>1540</v>
      </c>
      <c r="I844" s="87">
        <v>3853.81</v>
      </c>
      <c r="J844" s="87">
        <v>0</v>
      </c>
      <c r="K844" s="87">
        <f>I844*AO844</f>
        <v>0</v>
      </c>
      <c r="L844" s="87">
        <f>I844*AP844</f>
        <v>0</v>
      </c>
      <c r="M844" s="87">
        <f>I844*J844</f>
        <v>0</v>
      </c>
      <c r="N844" s="77" t="s">
        <v>1556</v>
      </c>
      <c r="O844" s="67"/>
      <c r="Z844" s="28">
        <f>IF(AQ844="5",BJ844,0)</f>
        <v>0</v>
      </c>
      <c r="AB844" s="28">
        <f>IF(AQ844="1",BH844,0)</f>
        <v>0</v>
      </c>
      <c r="AC844" s="28">
        <f>IF(AQ844="1",BI844,0)</f>
        <v>0</v>
      </c>
      <c r="AD844" s="28">
        <f>IF(AQ844="7",BH844,0)</f>
        <v>0</v>
      </c>
      <c r="AE844" s="28">
        <f>IF(AQ844="7",BI844,0)</f>
        <v>0</v>
      </c>
      <c r="AF844" s="28">
        <f>IF(AQ844="2",BH844,0)</f>
        <v>0</v>
      </c>
      <c r="AG844" s="28">
        <f>IF(AQ844="2",BI844,0)</f>
        <v>0</v>
      </c>
      <c r="AH844" s="28">
        <f>IF(AQ844="0",BJ844,0)</f>
        <v>0</v>
      </c>
      <c r="AI844" s="27" t="s">
        <v>283</v>
      </c>
      <c r="AJ844" s="18">
        <f>IF(AN844=0,M844,0)</f>
        <v>0</v>
      </c>
      <c r="AK844" s="18">
        <f>IF(AN844=15,M844,0)</f>
        <v>0</v>
      </c>
      <c r="AL844" s="18">
        <f>IF(AN844=21,M844,0)</f>
        <v>0</v>
      </c>
      <c r="AN844" s="28">
        <v>15</v>
      </c>
      <c r="AO844" s="28">
        <f>J844*0</f>
        <v>0</v>
      </c>
      <c r="AP844" s="28">
        <f>J844*(1-0)</f>
        <v>0</v>
      </c>
      <c r="AQ844" s="29" t="s">
        <v>11</v>
      </c>
      <c r="AV844" s="28">
        <f>AW844+AX844</f>
        <v>0</v>
      </c>
      <c r="AW844" s="28">
        <f>I844*AO844</f>
        <v>0</v>
      </c>
      <c r="AX844" s="28">
        <f>I844*AP844</f>
        <v>0</v>
      </c>
      <c r="AY844" s="31" t="s">
        <v>1596</v>
      </c>
      <c r="AZ844" s="31" t="s">
        <v>1622</v>
      </c>
      <c r="BA844" s="27" t="s">
        <v>1628</v>
      </c>
      <c r="BC844" s="28">
        <f>AW844+AX844</f>
        <v>0</v>
      </c>
      <c r="BD844" s="28">
        <f>J844/(100-BE844)*100</f>
        <v>0</v>
      </c>
      <c r="BE844" s="28">
        <v>0</v>
      </c>
      <c r="BF844" s="28">
        <f>844</f>
        <v>844</v>
      </c>
      <c r="BH844" s="18">
        <f>I844*AO844</f>
        <v>0</v>
      </c>
      <c r="BI844" s="18">
        <f>I844*AP844</f>
        <v>0</v>
      </c>
      <c r="BJ844" s="18">
        <f>I844*J844</f>
        <v>0</v>
      </c>
      <c r="BK844" s="18" t="s">
        <v>1634</v>
      </c>
      <c r="BL844" s="28">
        <v>767</v>
      </c>
    </row>
    <row r="845" spans="1:15" ht="12.75">
      <c r="A845" s="89"/>
      <c r="B845" s="90"/>
      <c r="C845" s="90"/>
      <c r="D845" s="84" t="s">
        <v>1117</v>
      </c>
      <c r="G845" s="91"/>
      <c r="H845" s="90"/>
      <c r="I845" s="92">
        <v>3853.81</v>
      </c>
      <c r="J845" s="90"/>
      <c r="K845" s="90"/>
      <c r="L845" s="90"/>
      <c r="M845" s="90"/>
      <c r="N845" s="79"/>
      <c r="O845" s="67"/>
    </row>
    <row r="846" spans="1:47" ht="12.75">
      <c r="A846" s="72"/>
      <c r="B846" s="73" t="s">
        <v>283</v>
      </c>
      <c r="C846" s="73" t="s">
        <v>488</v>
      </c>
      <c r="D846" s="130" t="s">
        <v>1118</v>
      </c>
      <c r="E846" s="131"/>
      <c r="F846" s="131"/>
      <c r="G846" s="132"/>
      <c r="H846" s="72" t="s">
        <v>6</v>
      </c>
      <c r="I846" s="72" t="s">
        <v>6</v>
      </c>
      <c r="J846" s="72" t="s">
        <v>6</v>
      </c>
      <c r="K846" s="76">
        <f>SUM(K847:K888)</f>
        <v>0</v>
      </c>
      <c r="L846" s="76">
        <f>SUM(L847:L888)</f>
        <v>0</v>
      </c>
      <c r="M846" s="76">
        <f>SUM(M847:M888)</f>
        <v>0</v>
      </c>
      <c r="N846" s="71"/>
      <c r="O846" s="67"/>
      <c r="AI846" s="27" t="s">
        <v>283</v>
      </c>
      <c r="AS846" s="33">
        <f>SUM(AJ847:AJ888)</f>
        <v>0</v>
      </c>
      <c r="AT846" s="33">
        <f>SUM(AK847:AK888)</f>
        <v>0</v>
      </c>
      <c r="AU846" s="33">
        <f>SUM(AL847:AL888)</f>
        <v>0</v>
      </c>
    </row>
    <row r="847" spans="1:64" ht="12.75">
      <c r="A847" s="74" t="s">
        <v>195</v>
      </c>
      <c r="B847" s="74" t="s">
        <v>283</v>
      </c>
      <c r="C847" s="74" t="s">
        <v>489</v>
      </c>
      <c r="D847" s="133" t="s">
        <v>1119</v>
      </c>
      <c r="E847" s="134"/>
      <c r="F847" s="134"/>
      <c r="G847" s="135"/>
      <c r="H847" s="74" t="s">
        <v>1535</v>
      </c>
      <c r="I847" s="75">
        <v>3</v>
      </c>
      <c r="J847" s="75">
        <v>0</v>
      </c>
      <c r="K847" s="75">
        <f>I847*AO847</f>
        <v>0</v>
      </c>
      <c r="L847" s="75">
        <f>I847*AP847</f>
        <v>0</v>
      </c>
      <c r="M847" s="75">
        <f>I847*J847</f>
        <v>0</v>
      </c>
      <c r="N847" s="78" t="s">
        <v>1556</v>
      </c>
      <c r="O847" s="67"/>
      <c r="Z847" s="28">
        <f>IF(AQ847="5",BJ847,0)</f>
        <v>0</v>
      </c>
      <c r="AB847" s="28">
        <f>IF(AQ847="1",BH847,0)</f>
        <v>0</v>
      </c>
      <c r="AC847" s="28">
        <f>IF(AQ847="1",BI847,0)</f>
        <v>0</v>
      </c>
      <c r="AD847" s="28">
        <f>IF(AQ847="7",BH847,0)</f>
        <v>0</v>
      </c>
      <c r="AE847" s="28">
        <f>IF(AQ847="7",BI847,0)</f>
        <v>0</v>
      </c>
      <c r="AF847" s="28">
        <f>IF(AQ847="2",BH847,0)</f>
        <v>0</v>
      </c>
      <c r="AG847" s="28">
        <f>IF(AQ847="2",BI847,0)</f>
        <v>0</v>
      </c>
      <c r="AH847" s="28">
        <f>IF(AQ847="0",BJ847,0)</f>
        <v>0</v>
      </c>
      <c r="AI847" s="27" t="s">
        <v>283</v>
      </c>
      <c r="AJ847" s="18">
        <f>IF(AN847=0,M847,0)</f>
        <v>0</v>
      </c>
      <c r="AK847" s="18">
        <f>IF(AN847=15,M847,0)</f>
        <v>0</v>
      </c>
      <c r="AL847" s="18">
        <f>IF(AN847=21,M847,0)</f>
        <v>0</v>
      </c>
      <c r="AN847" s="28">
        <v>15</v>
      </c>
      <c r="AO847" s="28">
        <f>J847*0.193364341085271</f>
        <v>0</v>
      </c>
      <c r="AP847" s="28">
        <f>J847*(1-0.193364341085271)</f>
        <v>0</v>
      </c>
      <c r="AQ847" s="29" t="s">
        <v>13</v>
      </c>
      <c r="AV847" s="28">
        <f>AW847+AX847</f>
        <v>0</v>
      </c>
      <c r="AW847" s="28">
        <f>I847*AO847</f>
        <v>0</v>
      </c>
      <c r="AX847" s="28">
        <f>I847*AP847</f>
        <v>0</v>
      </c>
      <c r="AY847" s="31" t="s">
        <v>1597</v>
      </c>
      <c r="AZ847" s="31" t="s">
        <v>1623</v>
      </c>
      <c r="BA847" s="27" t="s">
        <v>1628</v>
      </c>
      <c r="BC847" s="28">
        <f>AW847+AX847</f>
        <v>0</v>
      </c>
      <c r="BD847" s="28">
        <f>J847/(100-BE847)*100</f>
        <v>0</v>
      </c>
      <c r="BE847" s="28">
        <v>0</v>
      </c>
      <c r="BF847" s="28">
        <f>847</f>
        <v>847</v>
      </c>
      <c r="BH847" s="18">
        <f>I847*AO847</f>
        <v>0</v>
      </c>
      <c r="BI847" s="18">
        <f>I847*AP847</f>
        <v>0</v>
      </c>
      <c r="BJ847" s="18">
        <f>I847*J847</f>
        <v>0</v>
      </c>
      <c r="BK847" s="18" t="s">
        <v>1634</v>
      </c>
      <c r="BL847" s="28">
        <v>771</v>
      </c>
    </row>
    <row r="848" spans="1:15" ht="12.75">
      <c r="A848" s="3"/>
      <c r="D848" s="136" t="s">
        <v>1120</v>
      </c>
      <c r="E848" s="137"/>
      <c r="F848" s="137"/>
      <c r="G848" s="137"/>
      <c r="H848" s="137"/>
      <c r="I848" s="137"/>
      <c r="J848" s="137"/>
      <c r="K848" s="137"/>
      <c r="L848" s="137"/>
      <c r="M848" s="137"/>
      <c r="N848" s="138"/>
      <c r="O848" s="3"/>
    </row>
    <row r="849" spans="1:15" ht="12.75">
      <c r="A849" s="89"/>
      <c r="B849" s="90"/>
      <c r="C849" s="90"/>
      <c r="D849" s="84" t="s">
        <v>1121</v>
      </c>
      <c r="G849" s="91" t="s">
        <v>1490</v>
      </c>
      <c r="H849" s="90"/>
      <c r="I849" s="92">
        <v>1.35</v>
      </c>
      <c r="J849" s="90"/>
      <c r="K849" s="90"/>
      <c r="L849" s="90"/>
      <c r="M849" s="90"/>
      <c r="N849" s="79"/>
      <c r="O849" s="67"/>
    </row>
    <row r="850" spans="1:15" ht="12.75">
      <c r="A850" s="82"/>
      <c r="B850" s="83"/>
      <c r="C850" s="83"/>
      <c r="D850" s="85" t="s">
        <v>1122</v>
      </c>
      <c r="G850" s="86" t="s">
        <v>1491</v>
      </c>
      <c r="H850" s="83"/>
      <c r="I850" s="88">
        <v>1.65</v>
      </c>
      <c r="J850" s="83"/>
      <c r="K850" s="83"/>
      <c r="L850" s="83"/>
      <c r="M850" s="83"/>
      <c r="N850" s="80"/>
      <c r="O850" s="67"/>
    </row>
    <row r="851" spans="1:15" ht="12.75">
      <c r="A851" s="3"/>
      <c r="C851" s="12" t="s">
        <v>296</v>
      </c>
      <c r="D851" s="142" t="s">
        <v>622</v>
      </c>
      <c r="E851" s="143"/>
      <c r="F851" s="143"/>
      <c r="G851" s="143"/>
      <c r="H851" s="143"/>
      <c r="I851" s="143"/>
      <c r="J851" s="143"/>
      <c r="K851" s="143"/>
      <c r="L851" s="143"/>
      <c r="M851" s="143"/>
      <c r="N851" s="144"/>
      <c r="O851" s="3"/>
    </row>
    <row r="852" spans="1:64" ht="12.75">
      <c r="A852" s="94" t="s">
        <v>196</v>
      </c>
      <c r="B852" s="94" t="s">
        <v>283</v>
      </c>
      <c r="C852" s="94" t="s">
        <v>490</v>
      </c>
      <c r="D852" s="148" t="s">
        <v>1123</v>
      </c>
      <c r="E852" s="149"/>
      <c r="F852" s="149"/>
      <c r="G852" s="150"/>
      <c r="H852" s="94" t="s">
        <v>1535</v>
      </c>
      <c r="I852" s="95">
        <v>3.45</v>
      </c>
      <c r="J852" s="95">
        <v>0</v>
      </c>
      <c r="K852" s="95">
        <f>I852*AO852</f>
        <v>0</v>
      </c>
      <c r="L852" s="95">
        <f>I852*AP852</f>
        <v>0</v>
      </c>
      <c r="M852" s="95">
        <f>I852*J852</f>
        <v>0</v>
      </c>
      <c r="N852" s="93" t="s">
        <v>1557</v>
      </c>
      <c r="O852" s="67"/>
      <c r="Z852" s="28">
        <f>IF(AQ852="5",BJ852,0)</f>
        <v>0</v>
      </c>
      <c r="AB852" s="28">
        <f>IF(AQ852="1",BH852,0)</f>
        <v>0</v>
      </c>
      <c r="AC852" s="28">
        <f>IF(AQ852="1",BI852,0)</f>
        <v>0</v>
      </c>
      <c r="AD852" s="28">
        <f>IF(AQ852="7",BH852,0)</f>
        <v>0</v>
      </c>
      <c r="AE852" s="28">
        <f>IF(AQ852="7",BI852,0)</f>
        <v>0</v>
      </c>
      <c r="AF852" s="28">
        <f>IF(AQ852="2",BH852,0)</f>
        <v>0</v>
      </c>
      <c r="AG852" s="28">
        <f>IF(AQ852="2",BI852,0)</f>
        <v>0</v>
      </c>
      <c r="AH852" s="28">
        <f>IF(AQ852="0",BJ852,0)</f>
        <v>0</v>
      </c>
      <c r="AI852" s="27" t="s">
        <v>283</v>
      </c>
      <c r="AJ852" s="20">
        <f>IF(AN852=0,M852,0)</f>
        <v>0</v>
      </c>
      <c r="AK852" s="20">
        <f>IF(AN852=15,M852,0)</f>
        <v>0</v>
      </c>
      <c r="AL852" s="20">
        <f>IF(AN852=21,M852,0)</f>
        <v>0</v>
      </c>
      <c r="AN852" s="28">
        <v>15</v>
      </c>
      <c r="AO852" s="28">
        <f>J852*1</f>
        <v>0</v>
      </c>
      <c r="AP852" s="28">
        <f>J852*(1-1)</f>
        <v>0</v>
      </c>
      <c r="AQ852" s="30" t="s">
        <v>13</v>
      </c>
      <c r="AV852" s="28">
        <f>AW852+AX852</f>
        <v>0</v>
      </c>
      <c r="AW852" s="28">
        <f>I852*AO852</f>
        <v>0</v>
      </c>
      <c r="AX852" s="28">
        <f>I852*AP852</f>
        <v>0</v>
      </c>
      <c r="AY852" s="31" t="s">
        <v>1597</v>
      </c>
      <c r="AZ852" s="31" t="s">
        <v>1623</v>
      </c>
      <c r="BA852" s="27" t="s">
        <v>1628</v>
      </c>
      <c r="BC852" s="28">
        <f>AW852+AX852</f>
        <v>0</v>
      </c>
      <c r="BD852" s="28">
        <f>J852/(100-BE852)*100</f>
        <v>0</v>
      </c>
      <c r="BE852" s="28">
        <v>0</v>
      </c>
      <c r="BF852" s="28">
        <f>852</f>
        <v>852</v>
      </c>
      <c r="BH852" s="20">
        <f>I852*AO852</f>
        <v>0</v>
      </c>
      <c r="BI852" s="20">
        <f>I852*AP852</f>
        <v>0</v>
      </c>
      <c r="BJ852" s="20">
        <f>I852*J852</f>
        <v>0</v>
      </c>
      <c r="BK852" s="20" t="s">
        <v>1635</v>
      </c>
      <c r="BL852" s="28">
        <v>771</v>
      </c>
    </row>
    <row r="853" spans="1:15" ht="12.75">
      <c r="A853" s="89"/>
      <c r="B853" s="90"/>
      <c r="C853" s="90"/>
      <c r="D853" s="84" t="s">
        <v>1121</v>
      </c>
      <c r="G853" s="91" t="s">
        <v>1490</v>
      </c>
      <c r="H853" s="90"/>
      <c r="I853" s="92">
        <v>1.35</v>
      </c>
      <c r="J853" s="90"/>
      <c r="K853" s="90"/>
      <c r="L853" s="90"/>
      <c r="M853" s="90"/>
      <c r="N853" s="79"/>
      <c r="O853" s="67"/>
    </row>
    <row r="854" spans="1:15" ht="12.75">
      <c r="A854" s="89"/>
      <c r="B854" s="90"/>
      <c r="C854" s="90"/>
      <c r="D854" s="84" t="s">
        <v>1122</v>
      </c>
      <c r="G854" s="91" t="s">
        <v>1491</v>
      </c>
      <c r="H854" s="90"/>
      <c r="I854" s="92">
        <v>1.65</v>
      </c>
      <c r="J854" s="90"/>
      <c r="K854" s="90"/>
      <c r="L854" s="90"/>
      <c r="M854" s="90"/>
      <c r="N854" s="79"/>
      <c r="O854" s="67"/>
    </row>
    <row r="855" spans="1:15" ht="12.75">
      <c r="A855" s="82"/>
      <c r="B855" s="83"/>
      <c r="C855" s="83"/>
      <c r="D855" s="85" t="s">
        <v>1124</v>
      </c>
      <c r="G855" s="86"/>
      <c r="H855" s="83"/>
      <c r="I855" s="88">
        <v>0.45</v>
      </c>
      <c r="J855" s="83"/>
      <c r="K855" s="83"/>
      <c r="L855" s="83"/>
      <c r="M855" s="83"/>
      <c r="N855" s="80"/>
      <c r="O855" s="67"/>
    </row>
    <row r="856" spans="1:15" ht="12.75">
      <c r="A856" s="3"/>
      <c r="C856" s="13" t="s">
        <v>302</v>
      </c>
      <c r="D856" s="145" t="s">
        <v>1125</v>
      </c>
      <c r="E856" s="146"/>
      <c r="F856" s="146"/>
      <c r="G856" s="146"/>
      <c r="H856" s="146"/>
      <c r="I856" s="146"/>
      <c r="J856" s="146"/>
      <c r="K856" s="146"/>
      <c r="L856" s="146"/>
      <c r="M856" s="146"/>
      <c r="N856" s="147"/>
      <c r="O856" s="3"/>
    </row>
    <row r="857" spans="1:64" ht="12.75">
      <c r="A857" s="81" t="s">
        <v>197</v>
      </c>
      <c r="B857" s="81" t="s">
        <v>283</v>
      </c>
      <c r="C857" s="81" t="s">
        <v>491</v>
      </c>
      <c r="D857" s="139" t="s">
        <v>1126</v>
      </c>
      <c r="E857" s="134"/>
      <c r="F857" s="134"/>
      <c r="G857" s="140"/>
      <c r="H857" s="81" t="s">
        <v>1535</v>
      </c>
      <c r="I857" s="87">
        <v>3.54</v>
      </c>
      <c r="J857" s="87">
        <v>0</v>
      </c>
      <c r="K857" s="87">
        <f>I857*AO857</f>
        <v>0</v>
      </c>
      <c r="L857" s="87">
        <f>I857*AP857</f>
        <v>0</v>
      </c>
      <c r="M857" s="87">
        <f>I857*J857</f>
        <v>0</v>
      </c>
      <c r="N857" s="77" t="s">
        <v>1556</v>
      </c>
      <c r="O857" s="67"/>
      <c r="Z857" s="28">
        <f>IF(AQ857="5",BJ857,0)</f>
        <v>0</v>
      </c>
      <c r="AB857" s="28">
        <f>IF(AQ857="1",BH857,0)</f>
        <v>0</v>
      </c>
      <c r="AC857" s="28">
        <f>IF(AQ857="1",BI857,0)</f>
        <v>0</v>
      </c>
      <c r="AD857" s="28">
        <f>IF(AQ857="7",BH857,0)</f>
        <v>0</v>
      </c>
      <c r="AE857" s="28">
        <f>IF(AQ857="7",BI857,0)</f>
        <v>0</v>
      </c>
      <c r="AF857" s="28">
        <f>IF(AQ857="2",BH857,0)</f>
        <v>0</v>
      </c>
      <c r="AG857" s="28">
        <f>IF(AQ857="2",BI857,0)</f>
        <v>0</v>
      </c>
      <c r="AH857" s="28">
        <f>IF(AQ857="0",BJ857,0)</f>
        <v>0</v>
      </c>
      <c r="AI857" s="27" t="s">
        <v>283</v>
      </c>
      <c r="AJ857" s="18">
        <f>IF(AN857=0,M857,0)</f>
        <v>0</v>
      </c>
      <c r="AK857" s="18">
        <f>IF(AN857=15,M857,0)</f>
        <v>0</v>
      </c>
      <c r="AL857" s="18">
        <f>IF(AN857=21,M857,0)</f>
        <v>0</v>
      </c>
      <c r="AN857" s="28">
        <v>15</v>
      </c>
      <c r="AO857" s="28">
        <f>J857*0</f>
        <v>0</v>
      </c>
      <c r="AP857" s="28">
        <f>J857*(1-0)</f>
        <v>0</v>
      </c>
      <c r="AQ857" s="29" t="s">
        <v>13</v>
      </c>
      <c r="AV857" s="28">
        <f>AW857+AX857</f>
        <v>0</v>
      </c>
      <c r="AW857" s="28">
        <f>I857*AO857</f>
        <v>0</v>
      </c>
      <c r="AX857" s="28">
        <f>I857*AP857</f>
        <v>0</v>
      </c>
      <c r="AY857" s="31" t="s">
        <v>1597</v>
      </c>
      <c r="AZ857" s="31" t="s">
        <v>1623</v>
      </c>
      <c r="BA857" s="27" t="s">
        <v>1628</v>
      </c>
      <c r="BC857" s="28">
        <f>AW857+AX857</f>
        <v>0</v>
      </c>
      <c r="BD857" s="28">
        <f>J857/(100-BE857)*100</f>
        <v>0</v>
      </c>
      <c r="BE857" s="28">
        <v>0</v>
      </c>
      <c r="BF857" s="28">
        <f>857</f>
        <v>857</v>
      </c>
      <c r="BH857" s="18">
        <f>I857*AO857</f>
        <v>0</v>
      </c>
      <c r="BI857" s="18">
        <f>I857*AP857</f>
        <v>0</v>
      </c>
      <c r="BJ857" s="18">
        <f>I857*J857</f>
        <v>0</v>
      </c>
      <c r="BK857" s="18" t="s">
        <v>1634</v>
      </c>
      <c r="BL857" s="28">
        <v>771</v>
      </c>
    </row>
    <row r="858" spans="1:15" ht="12.75">
      <c r="A858" s="82"/>
      <c r="B858" s="83"/>
      <c r="C858" s="83"/>
      <c r="D858" s="85" t="s">
        <v>1127</v>
      </c>
      <c r="G858" s="86" t="s">
        <v>1492</v>
      </c>
      <c r="H858" s="83"/>
      <c r="I858" s="88">
        <v>3.54</v>
      </c>
      <c r="J858" s="83"/>
      <c r="K858" s="83"/>
      <c r="L858" s="83"/>
      <c r="M858" s="83"/>
      <c r="N858" s="80"/>
      <c r="O858" s="67"/>
    </row>
    <row r="859" spans="1:15" ht="12.75">
      <c r="A859" s="3"/>
      <c r="C859" s="12" t="s">
        <v>296</v>
      </c>
      <c r="D859" s="142" t="s">
        <v>622</v>
      </c>
      <c r="E859" s="143"/>
      <c r="F859" s="143"/>
      <c r="G859" s="143"/>
      <c r="H859" s="143"/>
      <c r="I859" s="143"/>
      <c r="J859" s="143"/>
      <c r="K859" s="143"/>
      <c r="L859" s="143"/>
      <c r="M859" s="143"/>
      <c r="N859" s="144"/>
      <c r="O859" s="3"/>
    </row>
    <row r="860" spans="1:64" ht="12.75">
      <c r="A860" s="94" t="s">
        <v>198</v>
      </c>
      <c r="B860" s="94" t="s">
        <v>283</v>
      </c>
      <c r="C860" s="94" t="s">
        <v>492</v>
      </c>
      <c r="D860" s="148" t="s">
        <v>1128</v>
      </c>
      <c r="E860" s="149"/>
      <c r="F860" s="149"/>
      <c r="G860" s="150"/>
      <c r="H860" s="94" t="s">
        <v>1537</v>
      </c>
      <c r="I860" s="95">
        <v>66.906</v>
      </c>
      <c r="J860" s="95">
        <v>0</v>
      </c>
      <c r="K860" s="95">
        <f>I860*AO860</f>
        <v>0</v>
      </c>
      <c r="L860" s="95">
        <f>I860*AP860</f>
        <v>0</v>
      </c>
      <c r="M860" s="95">
        <f>I860*J860</f>
        <v>0</v>
      </c>
      <c r="N860" s="93" t="s">
        <v>1556</v>
      </c>
      <c r="O860" s="67"/>
      <c r="Z860" s="28">
        <f>IF(AQ860="5",BJ860,0)</f>
        <v>0</v>
      </c>
      <c r="AB860" s="28">
        <f>IF(AQ860="1",BH860,0)</f>
        <v>0</v>
      </c>
      <c r="AC860" s="28">
        <f>IF(AQ860="1",BI860,0)</f>
        <v>0</v>
      </c>
      <c r="AD860" s="28">
        <f>IF(AQ860="7",BH860,0)</f>
        <v>0</v>
      </c>
      <c r="AE860" s="28">
        <f>IF(AQ860="7",BI860,0)</f>
        <v>0</v>
      </c>
      <c r="AF860" s="28">
        <f>IF(AQ860="2",BH860,0)</f>
        <v>0</v>
      </c>
      <c r="AG860" s="28">
        <f>IF(AQ860="2",BI860,0)</f>
        <v>0</v>
      </c>
      <c r="AH860" s="28">
        <f>IF(AQ860="0",BJ860,0)</f>
        <v>0</v>
      </c>
      <c r="AI860" s="27" t="s">
        <v>283</v>
      </c>
      <c r="AJ860" s="20">
        <f>IF(AN860=0,M860,0)</f>
        <v>0</v>
      </c>
      <c r="AK860" s="20">
        <f>IF(AN860=15,M860,0)</f>
        <v>0</v>
      </c>
      <c r="AL860" s="20">
        <f>IF(AN860=21,M860,0)</f>
        <v>0</v>
      </c>
      <c r="AN860" s="28">
        <v>15</v>
      </c>
      <c r="AO860" s="28">
        <f>J860*1</f>
        <v>0</v>
      </c>
      <c r="AP860" s="28">
        <f>J860*(1-1)</f>
        <v>0</v>
      </c>
      <c r="AQ860" s="30" t="s">
        <v>13</v>
      </c>
      <c r="AV860" s="28">
        <f>AW860+AX860</f>
        <v>0</v>
      </c>
      <c r="AW860" s="28">
        <f>I860*AO860</f>
        <v>0</v>
      </c>
      <c r="AX860" s="28">
        <f>I860*AP860</f>
        <v>0</v>
      </c>
      <c r="AY860" s="31" t="s">
        <v>1597</v>
      </c>
      <c r="AZ860" s="31" t="s">
        <v>1623</v>
      </c>
      <c r="BA860" s="27" t="s">
        <v>1628</v>
      </c>
      <c r="BC860" s="28">
        <f>AW860+AX860</f>
        <v>0</v>
      </c>
      <c r="BD860" s="28">
        <f>J860/(100-BE860)*100</f>
        <v>0</v>
      </c>
      <c r="BE860" s="28">
        <v>0</v>
      </c>
      <c r="BF860" s="28">
        <f>860</f>
        <v>860</v>
      </c>
      <c r="BH860" s="20">
        <f>I860*AO860</f>
        <v>0</v>
      </c>
      <c r="BI860" s="20">
        <f>I860*AP860</f>
        <v>0</v>
      </c>
      <c r="BJ860" s="20">
        <f>I860*J860</f>
        <v>0</v>
      </c>
      <c r="BK860" s="20" t="s">
        <v>1635</v>
      </c>
      <c r="BL860" s="28">
        <v>771</v>
      </c>
    </row>
    <row r="861" spans="1:15" ht="12.75">
      <c r="A861" s="89"/>
      <c r="B861" s="90"/>
      <c r="C861" s="90"/>
      <c r="D861" s="84" t="s">
        <v>1129</v>
      </c>
      <c r="G861" s="91" t="s">
        <v>1493</v>
      </c>
      <c r="H861" s="90"/>
      <c r="I861" s="92">
        <v>63.72</v>
      </c>
      <c r="J861" s="90"/>
      <c r="K861" s="90"/>
      <c r="L861" s="90"/>
      <c r="M861" s="90"/>
      <c r="N861" s="79"/>
      <c r="O861" s="67"/>
    </row>
    <row r="862" spans="1:15" ht="12.75">
      <c r="A862" s="82"/>
      <c r="B862" s="83"/>
      <c r="C862" s="83"/>
      <c r="D862" s="85" t="s">
        <v>1130</v>
      </c>
      <c r="G862" s="86"/>
      <c r="H862" s="83"/>
      <c r="I862" s="88">
        <v>3.186</v>
      </c>
      <c r="J862" s="83"/>
      <c r="K862" s="83"/>
      <c r="L862" s="83"/>
      <c r="M862" s="83"/>
      <c r="N862" s="80"/>
      <c r="O862" s="67"/>
    </row>
    <row r="863" spans="1:15" ht="12.75">
      <c r="A863" s="3"/>
      <c r="C863" s="12" t="s">
        <v>296</v>
      </c>
      <c r="D863" s="142" t="s">
        <v>622</v>
      </c>
      <c r="E863" s="143"/>
      <c r="F863" s="143"/>
      <c r="G863" s="143"/>
      <c r="H863" s="143"/>
      <c r="I863" s="143"/>
      <c r="J863" s="143"/>
      <c r="K863" s="143"/>
      <c r="L863" s="143"/>
      <c r="M863" s="143"/>
      <c r="N863" s="144"/>
      <c r="O863" s="3"/>
    </row>
    <row r="864" spans="1:64" ht="12.75">
      <c r="A864" s="74" t="s">
        <v>199</v>
      </c>
      <c r="B864" s="74" t="s">
        <v>283</v>
      </c>
      <c r="C864" s="74" t="s">
        <v>493</v>
      </c>
      <c r="D864" s="133" t="s">
        <v>1131</v>
      </c>
      <c r="E864" s="134"/>
      <c r="F864" s="134"/>
      <c r="G864" s="135"/>
      <c r="H864" s="74" t="s">
        <v>1539</v>
      </c>
      <c r="I864" s="75">
        <v>27.8</v>
      </c>
      <c r="J864" s="75">
        <v>0</v>
      </c>
      <c r="K864" s="75">
        <f>I864*AO864</f>
        <v>0</v>
      </c>
      <c r="L864" s="75">
        <f>I864*AP864</f>
        <v>0</v>
      </c>
      <c r="M864" s="75">
        <f>I864*J864</f>
        <v>0</v>
      </c>
      <c r="N864" s="78" t="s">
        <v>1556</v>
      </c>
      <c r="O864" s="67"/>
      <c r="Z864" s="28">
        <f>IF(AQ864="5",BJ864,0)</f>
        <v>0</v>
      </c>
      <c r="AB864" s="28">
        <f>IF(AQ864="1",BH864,0)</f>
        <v>0</v>
      </c>
      <c r="AC864" s="28">
        <f>IF(AQ864="1",BI864,0)</f>
        <v>0</v>
      </c>
      <c r="AD864" s="28">
        <f>IF(AQ864="7",BH864,0)</f>
        <v>0</v>
      </c>
      <c r="AE864" s="28">
        <f>IF(AQ864="7",BI864,0)</f>
        <v>0</v>
      </c>
      <c r="AF864" s="28">
        <f>IF(AQ864="2",BH864,0)</f>
        <v>0</v>
      </c>
      <c r="AG864" s="28">
        <f>IF(AQ864="2",BI864,0)</f>
        <v>0</v>
      </c>
      <c r="AH864" s="28">
        <f>IF(AQ864="0",BJ864,0)</f>
        <v>0</v>
      </c>
      <c r="AI864" s="27" t="s">
        <v>283</v>
      </c>
      <c r="AJ864" s="18">
        <f>IF(AN864=0,M864,0)</f>
        <v>0</v>
      </c>
      <c r="AK864" s="18">
        <f>IF(AN864=15,M864,0)</f>
        <v>0</v>
      </c>
      <c r="AL864" s="18">
        <f>IF(AN864=21,M864,0)</f>
        <v>0</v>
      </c>
      <c r="AN864" s="28">
        <v>15</v>
      </c>
      <c r="AO864" s="28">
        <f>J864*0.0543846153846154</f>
        <v>0</v>
      </c>
      <c r="AP864" s="28">
        <f>J864*(1-0.0543846153846154)</f>
        <v>0</v>
      </c>
      <c r="AQ864" s="29" t="s">
        <v>13</v>
      </c>
      <c r="AV864" s="28">
        <f>AW864+AX864</f>
        <v>0</v>
      </c>
      <c r="AW864" s="28">
        <f>I864*AO864</f>
        <v>0</v>
      </c>
      <c r="AX864" s="28">
        <f>I864*AP864</f>
        <v>0</v>
      </c>
      <c r="AY864" s="31" t="s">
        <v>1597</v>
      </c>
      <c r="AZ864" s="31" t="s">
        <v>1623</v>
      </c>
      <c r="BA864" s="27" t="s">
        <v>1628</v>
      </c>
      <c r="BC864" s="28">
        <f>AW864+AX864</f>
        <v>0</v>
      </c>
      <c r="BD864" s="28">
        <f>J864/(100-BE864)*100</f>
        <v>0</v>
      </c>
      <c r="BE864" s="28">
        <v>0</v>
      </c>
      <c r="BF864" s="28">
        <f>864</f>
        <v>864</v>
      </c>
      <c r="BH864" s="18">
        <f>I864*AO864</f>
        <v>0</v>
      </c>
      <c r="BI864" s="18">
        <f>I864*AP864</f>
        <v>0</v>
      </c>
      <c r="BJ864" s="18">
        <f>I864*J864</f>
        <v>0</v>
      </c>
      <c r="BK864" s="18" t="s">
        <v>1634</v>
      </c>
      <c r="BL864" s="28">
        <v>771</v>
      </c>
    </row>
    <row r="865" spans="1:15" ht="12.75">
      <c r="A865" s="3"/>
      <c r="D865" s="136" t="s">
        <v>1132</v>
      </c>
      <c r="E865" s="137"/>
      <c r="F865" s="137"/>
      <c r="G865" s="137"/>
      <c r="H865" s="137"/>
      <c r="I865" s="137"/>
      <c r="J865" s="137"/>
      <c r="K865" s="137"/>
      <c r="L865" s="137"/>
      <c r="M865" s="137"/>
      <c r="N865" s="138"/>
      <c r="O865" s="3"/>
    </row>
    <row r="866" spans="1:15" ht="12.75">
      <c r="A866" s="89"/>
      <c r="B866" s="90"/>
      <c r="C866" s="90"/>
      <c r="D866" s="84" t="s">
        <v>1133</v>
      </c>
      <c r="G866" s="91" t="s">
        <v>1494</v>
      </c>
      <c r="H866" s="90"/>
      <c r="I866" s="92">
        <v>14.8</v>
      </c>
      <c r="J866" s="90"/>
      <c r="K866" s="90"/>
      <c r="L866" s="90"/>
      <c r="M866" s="90"/>
      <c r="N866" s="79"/>
      <c r="O866" s="67"/>
    </row>
    <row r="867" spans="1:15" ht="12.75">
      <c r="A867" s="82"/>
      <c r="B867" s="83"/>
      <c r="C867" s="83"/>
      <c r="D867" s="85" t="s">
        <v>19</v>
      </c>
      <c r="G867" s="86" t="s">
        <v>1495</v>
      </c>
      <c r="H867" s="83"/>
      <c r="I867" s="88">
        <v>13</v>
      </c>
      <c r="J867" s="83"/>
      <c r="K867" s="83"/>
      <c r="L867" s="83"/>
      <c r="M867" s="83"/>
      <c r="N867" s="80"/>
      <c r="O867" s="67"/>
    </row>
    <row r="868" spans="1:15" ht="12.75">
      <c r="A868" s="3"/>
      <c r="C868" s="13" t="s">
        <v>302</v>
      </c>
      <c r="D868" s="145" t="s">
        <v>1134</v>
      </c>
      <c r="E868" s="146"/>
      <c r="F868" s="146"/>
      <c r="G868" s="146"/>
      <c r="H868" s="146"/>
      <c r="I868" s="146"/>
      <c r="J868" s="146"/>
      <c r="K868" s="146"/>
      <c r="L868" s="146"/>
      <c r="M868" s="146"/>
      <c r="N868" s="147"/>
      <c r="O868" s="3"/>
    </row>
    <row r="869" spans="1:15" ht="12.75">
      <c r="A869" s="3"/>
      <c r="C869" s="12" t="s">
        <v>296</v>
      </c>
      <c r="D869" s="142" t="s">
        <v>622</v>
      </c>
      <c r="E869" s="143"/>
      <c r="F869" s="143"/>
      <c r="G869" s="143"/>
      <c r="H869" s="143"/>
      <c r="I869" s="143"/>
      <c r="J869" s="143"/>
      <c r="K869" s="143"/>
      <c r="L869" s="143"/>
      <c r="M869" s="143"/>
      <c r="N869" s="144"/>
      <c r="O869" s="3"/>
    </row>
    <row r="870" spans="1:64" ht="12.75">
      <c r="A870" s="94" t="s">
        <v>200</v>
      </c>
      <c r="B870" s="94" t="s">
        <v>283</v>
      </c>
      <c r="C870" s="94" t="s">
        <v>494</v>
      </c>
      <c r="D870" s="148" t="s">
        <v>1135</v>
      </c>
      <c r="E870" s="149"/>
      <c r="F870" s="149"/>
      <c r="G870" s="150"/>
      <c r="H870" s="94" t="s">
        <v>1535</v>
      </c>
      <c r="I870" s="95">
        <v>3.475</v>
      </c>
      <c r="J870" s="95">
        <v>0</v>
      </c>
      <c r="K870" s="95">
        <f>I870*AO870</f>
        <v>0</v>
      </c>
      <c r="L870" s="95">
        <f>I870*AP870</f>
        <v>0</v>
      </c>
      <c r="M870" s="95">
        <f>I870*J870</f>
        <v>0</v>
      </c>
      <c r="N870" s="93" t="s">
        <v>1556</v>
      </c>
      <c r="O870" s="67"/>
      <c r="Z870" s="28">
        <f>IF(AQ870="5",BJ870,0)</f>
        <v>0</v>
      </c>
      <c r="AB870" s="28">
        <f>IF(AQ870="1",BH870,0)</f>
        <v>0</v>
      </c>
      <c r="AC870" s="28">
        <f>IF(AQ870="1",BI870,0)</f>
        <v>0</v>
      </c>
      <c r="AD870" s="28">
        <f>IF(AQ870="7",BH870,0)</f>
        <v>0</v>
      </c>
      <c r="AE870" s="28">
        <f>IF(AQ870="7",BI870,0)</f>
        <v>0</v>
      </c>
      <c r="AF870" s="28">
        <f>IF(AQ870="2",BH870,0)</f>
        <v>0</v>
      </c>
      <c r="AG870" s="28">
        <f>IF(AQ870="2",BI870,0)</f>
        <v>0</v>
      </c>
      <c r="AH870" s="28">
        <f>IF(AQ870="0",BJ870,0)</f>
        <v>0</v>
      </c>
      <c r="AI870" s="27" t="s">
        <v>283</v>
      </c>
      <c r="AJ870" s="20">
        <f>IF(AN870=0,M870,0)</f>
        <v>0</v>
      </c>
      <c r="AK870" s="20">
        <f>IF(AN870=15,M870,0)</f>
        <v>0</v>
      </c>
      <c r="AL870" s="20">
        <f>IF(AN870=21,M870,0)</f>
        <v>0</v>
      </c>
      <c r="AN870" s="28">
        <v>15</v>
      </c>
      <c r="AO870" s="28">
        <f>J870*1</f>
        <v>0</v>
      </c>
      <c r="AP870" s="28">
        <f>J870*(1-1)</f>
        <v>0</v>
      </c>
      <c r="AQ870" s="30" t="s">
        <v>13</v>
      </c>
      <c r="AV870" s="28">
        <f>AW870+AX870</f>
        <v>0</v>
      </c>
      <c r="AW870" s="28">
        <f>I870*AO870</f>
        <v>0</v>
      </c>
      <c r="AX870" s="28">
        <f>I870*AP870</f>
        <v>0</v>
      </c>
      <c r="AY870" s="31" t="s">
        <v>1597</v>
      </c>
      <c r="AZ870" s="31" t="s">
        <v>1623</v>
      </c>
      <c r="BA870" s="27" t="s">
        <v>1628</v>
      </c>
      <c r="BC870" s="28">
        <f>AW870+AX870</f>
        <v>0</v>
      </c>
      <c r="BD870" s="28">
        <f>J870/(100-BE870)*100</f>
        <v>0</v>
      </c>
      <c r="BE870" s="28">
        <v>0</v>
      </c>
      <c r="BF870" s="28">
        <f>870</f>
        <v>870</v>
      </c>
      <c r="BH870" s="20">
        <f>I870*AO870</f>
        <v>0</v>
      </c>
      <c r="BI870" s="20">
        <f>I870*AP870</f>
        <v>0</v>
      </c>
      <c r="BJ870" s="20">
        <f>I870*J870</f>
        <v>0</v>
      </c>
      <c r="BK870" s="20" t="s">
        <v>1635</v>
      </c>
      <c r="BL870" s="28">
        <v>771</v>
      </c>
    </row>
    <row r="871" spans="1:15" ht="12.75">
      <c r="A871" s="89"/>
      <c r="B871" s="90"/>
      <c r="C871" s="90"/>
      <c r="D871" s="84" t="s">
        <v>1136</v>
      </c>
      <c r="G871" s="91" t="s">
        <v>1494</v>
      </c>
      <c r="H871" s="90"/>
      <c r="I871" s="92">
        <v>1.48</v>
      </c>
      <c r="J871" s="90"/>
      <c r="K871" s="90"/>
      <c r="L871" s="90"/>
      <c r="M871" s="90"/>
      <c r="N871" s="79"/>
      <c r="O871" s="67"/>
    </row>
    <row r="872" spans="1:15" ht="12.75">
      <c r="A872" s="89"/>
      <c r="B872" s="90"/>
      <c r="C872" s="90"/>
      <c r="D872" s="84" t="s">
        <v>1137</v>
      </c>
      <c r="G872" s="91" t="s">
        <v>1495</v>
      </c>
      <c r="H872" s="90"/>
      <c r="I872" s="92">
        <v>1.3</v>
      </c>
      <c r="J872" s="90"/>
      <c r="K872" s="90"/>
      <c r="L872" s="90"/>
      <c r="M872" s="90"/>
      <c r="N872" s="79"/>
      <c r="O872" s="67"/>
    </row>
    <row r="873" spans="1:15" ht="12.75">
      <c r="A873" s="82"/>
      <c r="B873" s="83"/>
      <c r="C873" s="83"/>
      <c r="D873" s="85" t="s">
        <v>1138</v>
      </c>
      <c r="G873" s="86"/>
      <c r="H873" s="83"/>
      <c r="I873" s="88">
        <v>0.695</v>
      </c>
      <c r="J873" s="83"/>
      <c r="K873" s="83"/>
      <c r="L873" s="83"/>
      <c r="M873" s="83"/>
      <c r="N873" s="80"/>
      <c r="O873" s="67"/>
    </row>
    <row r="874" spans="1:15" ht="12.75">
      <c r="A874" s="3"/>
      <c r="C874" s="13" t="s">
        <v>302</v>
      </c>
      <c r="D874" s="145" t="s">
        <v>1139</v>
      </c>
      <c r="E874" s="146"/>
      <c r="F874" s="146"/>
      <c r="G874" s="146"/>
      <c r="H874" s="146"/>
      <c r="I874" s="146"/>
      <c r="J874" s="146"/>
      <c r="K874" s="146"/>
      <c r="L874" s="146"/>
      <c r="M874" s="146"/>
      <c r="N874" s="147"/>
      <c r="O874" s="3"/>
    </row>
    <row r="875" spans="1:15" ht="12.75">
      <c r="A875" s="3"/>
      <c r="C875" s="12" t="s">
        <v>296</v>
      </c>
      <c r="D875" s="142" t="s">
        <v>622</v>
      </c>
      <c r="E875" s="143"/>
      <c r="F875" s="143"/>
      <c r="G875" s="143"/>
      <c r="H875" s="143"/>
      <c r="I875" s="143"/>
      <c r="J875" s="143"/>
      <c r="K875" s="143"/>
      <c r="L875" s="143"/>
      <c r="M875" s="143"/>
      <c r="N875" s="144"/>
      <c r="O875" s="3"/>
    </row>
    <row r="876" spans="1:64" ht="12.75">
      <c r="A876" s="81" t="s">
        <v>201</v>
      </c>
      <c r="B876" s="81" t="s">
        <v>283</v>
      </c>
      <c r="C876" s="81" t="s">
        <v>495</v>
      </c>
      <c r="D876" s="139" t="s">
        <v>1140</v>
      </c>
      <c r="E876" s="134"/>
      <c r="F876" s="134"/>
      <c r="G876" s="140"/>
      <c r="H876" s="81" t="s">
        <v>1539</v>
      </c>
      <c r="I876" s="87">
        <v>9.3</v>
      </c>
      <c r="J876" s="87">
        <v>0</v>
      </c>
      <c r="K876" s="87">
        <f>I876*AO876</f>
        <v>0</v>
      </c>
      <c r="L876" s="87">
        <f>I876*AP876</f>
        <v>0</v>
      </c>
      <c r="M876" s="87">
        <f>I876*J876</f>
        <v>0</v>
      </c>
      <c r="N876" s="77" t="s">
        <v>1556</v>
      </c>
      <c r="O876" s="67"/>
      <c r="Z876" s="28">
        <f>IF(AQ876="5",BJ876,0)</f>
        <v>0</v>
      </c>
      <c r="AB876" s="28">
        <f>IF(AQ876="1",BH876,0)</f>
        <v>0</v>
      </c>
      <c r="AC876" s="28">
        <f>IF(AQ876="1",BI876,0)</f>
        <v>0</v>
      </c>
      <c r="AD876" s="28">
        <f>IF(AQ876="7",BH876,0)</f>
        <v>0</v>
      </c>
      <c r="AE876" s="28">
        <f>IF(AQ876="7",BI876,0)</f>
        <v>0</v>
      </c>
      <c r="AF876" s="28">
        <f>IF(AQ876="2",BH876,0)</f>
        <v>0</v>
      </c>
      <c r="AG876" s="28">
        <f>IF(AQ876="2",BI876,0)</f>
        <v>0</v>
      </c>
      <c r="AH876" s="28">
        <f>IF(AQ876="0",BJ876,0)</f>
        <v>0</v>
      </c>
      <c r="AI876" s="27" t="s">
        <v>283</v>
      </c>
      <c r="AJ876" s="18">
        <f>IF(AN876=0,M876,0)</f>
        <v>0</v>
      </c>
      <c r="AK876" s="18">
        <f>IF(AN876=15,M876,0)</f>
        <v>0</v>
      </c>
      <c r="AL876" s="18">
        <f>IF(AN876=21,M876,0)</f>
        <v>0</v>
      </c>
      <c r="AN876" s="28">
        <v>15</v>
      </c>
      <c r="AO876" s="28">
        <f>J876*0.0465161290322581</f>
        <v>0</v>
      </c>
      <c r="AP876" s="28">
        <f>J876*(1-0.0465161290322581)</f>
        <v>0</v>
      </c>
      <c r="AQ876" s="29" t="s">
        <v>13</v>
      </c>
      <c r="AV876" s="28">
        <f>AW876+AX876</f>
        <v>0</v>
      </c>
      <c r="AW876" s="28">
        <f>I876*AO876</f>
        <v>0</v>
      </c>
      <c r="AX876" s="28">
        <f>I876*AP876</f>
        <v>0</v>
      </c>
      <c r="AY876" s="31" t="s">
        <v>1597</v>
      </c>
      <c r="AZ876" s="31" t="s">
        <v>1623</v>
      </c>
      <c r="BA876" s="27" t="s">
        <v>1628</v>
      </c>
      <c r="BC876" s="28">
        <f>AW876+AX876</f>
        <v>0</v>
      </c>
      <c r="BD876" s="28">
        <f>J876/(100-BE876)*100</f>
        <v>0</v>
      </c>
      <c r="BE876" s="28">
        <v>0</v>
      </c>
      <c r="BF876" s="28">
        <f>876</f>
        <v>876</v>
      </c>
      <c r="BH876" s="18">
        <f>I876*AO876</f>
        <v>0</v>
      </c>
      <c r="BI876" s="18">
        <f>I876*AP876</f>
        <v>0</v>
      </c>
      <c r="BJ876" s="18">
        <f>I876*J876</f>
        <v>0</v>
      </c>
      <c r="BK876" s="18" t="s">
        <v>1634</v>
      </c>
      <c r="BL876" s="28">
        <v>771</v>
      </c>
    </row>
    <row r="877" spans="1:15" ht="12.75">
      <c r="A877" s="82"/>
      <c r="B877" s="83"/>
      <c r="C877" s="83"/>
      <c r="D877" s="85" t="s">
        <v>1141</v>
      </c>
      <c r="G877" s="86"/>
      <c r="H877" s="83"/>
      <c r="I877" s="88">
        <v>9.3</v>
      </c>
      <c r="J877" s="83"/>
      <c r="K877" s="83"/>
      <c r="L877" s="83"/>
      <c r="M877" s="83"/>
      <c r="N877" s="80"/>
      <c r="O877" s="67"/>
    </row>
    <row r="878" spans="1:15" ht="12.75">
      <c r="A878" s="3"/>
      <c r="C878" s="13" t="s">
        <v>302</v>
      </c>
      <c r="D878" s="145" t="s">
        <v>1142</v>
      </c>
      <c r="E878" s="146"/>
      <c r="F878" s="146"/>
      <c r="G878" s="146"/>
      <c r="H878" s="146"/>
      <c r="I878" s="146"/>
      <c r="J878" s="146"/>
      <c r="K878" s="146"/>
      <c r="L878" s="146"/>
      <c r="M878" s="146"/>
      <c r="N878" s="147"/>
      <c r="O878" s="3"/>
    </row>
    <row r="879" spans="1:15" ht="12.75">
      <c r="A879" s="3"/>
      <c r="C879" s="12" t="s">
        <v>296</v>
      </c>
      <c r="D879" s="142" t="s">
        <v>622</v>
      </c>
      <c r="E879" s="143"/>
      <c r="F879" s="143"/>
      <c r="G879" s="143"/>
      <c r="H879" s="143"/>
      <c r="I879" s="143"/>
      <c r="J879" s="143"/>
      <c r="K879" s="143"/>
      <c r="L879" s="143"/>
      <c r="M879" s="143"/>
      <c r="N879" s="144"/>
      <c r="O879" s="3"/>
    </row>
    <row r="880" spans="1:64" ht="12.75">
      <c r="A880" s="2" t="s">
        <v>202</v>
      </c>
      <c r="B880" s="9" t="s">
        <v>283</v>
      </c>
      <c r="C880" s="9" t="s">
        <v>496</v>
      </c>
      <c r="D880" s="141" t="s">
        <v>1143</v>
      </c>
      <c r="E880" s="134"/>
      <c r="F880" s="134"/>
      <c r="G880" s="134"/>
      <c r="H880" s="9" t="s">
        <v>1539</v>
      </c>
      <c r="I880" s="18">
        <v>16.45</v>
      </c>
      <c r="J880" s="18">
        <v>0</v>
      </c>
      <c r="K880" s="18">
        <f>I880*AO880</f>
        <v>0</v>
      </c>
      <c r="L880" s="18">
        <f>I880*AP880</f>
        <v>0</v>
      </c>
      <c r="M880" s="18">
        <f>I880*J880</f>
        <v>0</v>
      </c>
      <c r="N880" s="23" t="s">
        <v>1556</v>
      </c>
      <c r="O880" s="3"/>
      <c r="Z880" s="28">
        <f>IF(AQ880="5",BJ880,0)</f>
        <v>0</v>
      </c>
      <c r="AB880" s="28">
        <f>IF(AQ880="1",BH880,0)</f>
        <v>0</v>
      </c>
      <c r="AC880" s="28">
        <f>IF(AQ880="1",BI880,0)</f>
        <v>0</v>
      </c>
      <c r="AD880" s="28">
        <f>IF(AQ880="7",BH880,0)</f>
        <v>0</v>
      </c>
      <c r="AE880" s="28">
        <f>IF(AQ880="7",BI880,0)</f>
        <v>0</v>
      </c>
      <c r="AF880" s="28">
        <f>IF(AQ880="2",BH880,0)</f>
        <v>0</v>
      </c>
      <c r="AG880" s="28">
        <f>IF(AQ880="2",BI880,0)</f>
        <v>0</v>
      </c>
      <c r="AH880" s="28">
        <f>IF(AQ880="0",BJ880,0)</f>
        <v>0</v>
      </c>
      <c r="AI880" s="27" t="s">
        <v>283</v>
      </c>
      <c r="AJ880" s="18">
        <f>IF(AN880=0,M880,0)</f>
        <v>0</v>
      </c>
      <c r="AK880" s="18">
        <f>IF(AN880=15,M880,0)</f>
        <v>0</v>
      </c>
      <c r="AL880" s="18">
        <f>IF(AN880=21,M880,0)</f>
        <v>0</v>
      </c>
      <c r="AN880" s="28">
        <v>15</v>
      </c>
      <c r="AO880" s="28">
        <f>J880*0</f>
        <v>0</v>
      </c>
      <c r="AP880" s="28">
        <f>J880*(1-0)</f>
        <v>0</v>
      </c>
      <c r="AQ880" s="29" t="s">
        <v>13</v>
      </c>
      <c r="AV880" s="28">
        <f>AW880+AX880</f>
        <v>0</v>
      </c>
      <c r="AW880" s="28">
        <f>I880*AO880</f>
        <v>0</v>
      </c>
      <c r="AX880" s="28">
        <f>I880*AP880</f>
        <v>0</v>
      </c>
      <c r="AY880" s="31" t="s">
        <v>1597</v>
      </c>
      <c r="AZ880" s="31" t="s">
        <v>1623</v>
      </c>
      <c r="BA880" s="27" t="s">
        <v>1628</v>
      </c>
      <c r="BC880" s="28">
        <f>AW880+AX880</f>
        <v>0</v>
      </c>
      <c r="BD880" s="28">
        <f>J880/(100-BE880)*100</f>
        <v>0</v>
      </c>
      <c r="BE880" s="28">
        <v>0</v>
      </c>
      <c r="BF880" s="28">
        <f>880</f>
        <v>880</v>
      </c>
      <c r="BH880" s="18">
        <f>I880*AO880</f>
        <v>0</v>
      </c>
      <c r="BI880" s="18">
        <f>I880*AP880</f>
        <v>0</v>
      </c>
      <c r="BJ880" s="18">
        <f>I880*J880</f>
        <v>0</v>
      </c>
      <c r="BK880" s="18" t="s">
        <v>1634</v>
      </c>
      <c r="BL880" s="28">
        <v>771</v>
      </c>
    </row>
    <row r="881" spans="1:15" ht="38.25" customHeight="1">
      <c r="A881" s="3"/>
      <c r="D881" s="136" t="s">
        <v>1144</v>
      </c>
      <c r="E881" s="137"/>
      <c r="F881" s="137"/>
      <c r="G881" s="137"/>
      <c r="H881" s="137"/>
      <c r="I881" s="137"/>
      <c r="J881" s="137"/>
      <c r="K881" s="137"/>
      <c r="L881" s="137"/>
      <c r="M881" s="137"/>
      <c r="N881" s="138"/>
      <c r="O881" s="3"/>
    </row>
    <row r="882" spans="1:15" ht="12.75">
      <c r="A882" s="3"/>
      <c r="D882" s="14" t="s">
        <v>711</v>
      </c>
      <c r="G882" s="16" t="s">
        <v>1369</v>
      </c>
      <c r="I882" s="19">
        <v>16.45</v>
      </c>
      <c r="N882" s="24"/>
      <c r="O882" s="3"/>
    </row>
    <row r="883" spans="1:15" ht="12.75">
      <c r="A883" s="3"/>
      <c r="C883" s="13" t="s">
        <v>302</v>
      </c>
      <c r="D883" s="145" t="s">
        <v>1145</v>
      </c>
      <c r="E883" s="146"/>
      <c r="F883" s="146"/>
      <c r="G883" s="146"/>
      <c r="H883" s="146"/>
      <c r="I883" s="146"/>
      <c r="J883" s="146"/>
      <c r="K883" s="146"/>
      <c r="L883" s="146"/>
      <c r="M883" s="146"/>
      <c r="N883" s="147"/>
      <c r="O883" s="3"/>
    </row>
    <row r="884" spans="1:64" ht="12.75">
      <c r="A884" s="4" t="s">
        <v>203</v>
      </c>
      <c r="B884" s="10" t="s">
        <v>283</v>
      </c>
      <c r="C884" s="10" t="s">
        <v>497</v>
      </c>
      <c r="D884" s="151" t="s">
        <v>1146</v>
      </c>
      <c r="E884" s="149"/>
      <c r="F884" s="149"/>
      <c r="G884" s="149"/>
      <c r="H884" s="10" t="s">
        <v>1539</v>
      </c>
      <c r="I884" s="20">
        <v>18.095</v>
      </c>
      <c r="J884" s="20">
        <v>0</v>
      </c>
      <c r="K884" s="20">
        <f>I884*AO884</f>
        <v>0</v>
      </c>
      <c r="L884" s="20">
        <f>I884*AP884</f>
        <v>0</v>
      </c>
      <c r="M884" s="20">
        <f>I884*J884</f>
        <v>0</v>
      </c>
      <c r="N884" s="25" t="s">
        <v>1557</v>
      </c>
      <c r="O884" s="3"/>
      <c r="Z884" s="28">
        <f>IF(AQ884="5",BJ884,0)</f>
        <v>0</v>
      </c>
      <c r="AB884" s="28">
        <f>IF(AQ884="1",BH884,0)</f>
        <v>0</v>
      </c>
      <c r="AC884" s="28">
        <f>IF(AQ884="1",BI884,0)</f>
        <v>0</v>
      </c>
      <c r="AD884" s="28">
        <f>IF(AQ884="7",BH884,0)</f>
        <v>0</v>
      </c>
      <c r="AE884" s="28">
        <f>IF(AQ884="7",BI884,0)</f>
        <v>0</v>
      </c>
      <c r="AF884" s="28">
        <f>IF(AQ884="2",BH884,0)</f>
        <v>0</v>
      </c>
      <c r="AG884" s="28">
        <f>IF(AQ884="2",BI884,0)</f>
        <v>0</v>
      </c>
      <c r="AH884" s="28">
        <f>IF(AQ884="0",BJ884,0)</f>
        <v>0</v>
      </c>
      <c r="AI884" s="27" t="s">
        <v>283</v>
      </c>
      <c r="AJ884" s="20">
        <f>IF(AN884=0,M884,0)</f>
        <v>0</v>
      </c>
      <c r="AK884" s="20">
        <f>IF(AN884=15,M884,0)</f>
        <v>0</v>
      </c>
      <c r="AL884" s="20">
        <f>IF(AN884=21,M884,0)</f>
        <v>0</v>
      </c>
      <c r="AN884" s="28">
        <v>15</v>
      </c>
      <c r="AO884" s="28">
        <f>J884*1</f>
        <v>0</v>
      </c>
      <c r="AP884" s="28">
        <f>J884*(1-1)</f>
        <v>0</v>
      </c>
      <c r="AQ884" s="30" t="s">
        <v>13</v>
      </c>
      <c r="AV884" s="28">
        <f>AW884+AX884</f>
        <v>0</v>
      </c>
      <c r="AW884" s="28">
        <f>I884*AO884</f>
        <v>0</v>
      </c>
      <c r="AX884" s="28">
        <f>I884*AP884</f>
        <v>0</v>
      </c>
      <c r="AY884" s="31" t="s">
        <v>1597</v>
      </c>
      <c r="AZ884" s="31" t="s">
        <v>1623</v>
      </c>
      <c r="BA884" s="27" t="s">
        <v>1628</v>
      </c>
      <c r="BC884" s="28">
        <f>AW884+AX884</f>
        <v>0</v>
      </c>
      <c r="BD884" s="28">
        <f>J884/(100-BE884)*100</f>
        <v>0</v>
      </c>
      <c r="BE884" s="28">
        <v>0</v>
      </c>
      <c r="BF884" s="28">
        <f>884</f>
        <v>884</v>
      </c>
      <c r="BH884" s="20">
        <f>I884*AO884</f>
        <v>0</v>
      </c>
      <c r="BI884" s="20">
        <f>I884*AP884</f>
        <v>0</v>
      </c>
      <c r="BJ884" s="20">
        <f>I884*J884</f>
        <v>0</v>
      </c>
      <c r="BK884" s="20" t="s">
        <v>1635</v>
      </c>
      <c r="BL884" s="28">
        <v>771</v>
      </c>
    </row>
    <row r="885" spans="1:15" ht="12.75">
      <c r="A885" s="3"/>
      <c r="D885" s="14" t="s">
        <v>711</v>
      </c>
      <c r="G885" s="16" t="s">
        <v>1369</v>
      </c>
      <c r="I885" s="19">
        <v>16.45</v>
      </c>
      <c r="N885" s="24"/>
      <c r="O885" s="3"/>
    </row>
    <row r="886" spans="1:15" ht="12.75">
      <c r="A886" s="3"/>
      <c r="D886" s="14" t="s">
        <v>1147</v>
      </c>
      <c r="G886" s="16"/>
      <c r="I886" s="19">
        <v>1.645</v>
      </c>
      <c r="N886" s="24"/>
      <c r="O886" s="3"/>
    </row>
    <row r="887" spans="1:15" ht="12.75">
      <c r="A887" s="3"/>
      <c r="C887" s="13" t="s">
        <v>302</v>
      </c>
      <c r="D887" s="145" t="s">
        <v>1148</v>
      </c>
      <c r="E887" s="146"/>
      <c r="F887" s="146"/>
      <c r="G887" s="146"/>
      <c r="H887" s="146"/>
      <c r="I887" s="146"/>
      <c r="J887" s="146"/>
      <c r="K887" s="146"/>
      <c r="L887" s="146"/>
      <c r="M887" s="146"/>
      <c r="N887" s="147"/>
      <c r="O887" s="3"/>
    </row>
    <row r="888" spans="1:64" ht="12.75">
      <c r="A888" s="81" t="s">
        <v>204</v>
      </c>
      <c r="B888" s="81" t="s">
        <v>283</v>
      </c>
      <c r="C888" s="81" t="s">
        <v>498</v>
      </c>
      <c r="D888" s="139" t="s">
        <v>1149</v>
      </c>
      <c r="E888" s="134"/>
      <c r="F888" s="134"/>
      <c r="G888" s="140"/>
      <c r="H888" s="81" t="s">
        <v>1540</v>
      </c>
      <c r="I888" s="87">
        <v>166.78</v>
      </c>
      <c r="J888" s="87">
        <v>0</v>
      </c>
      <c r="K888" s="87">
        <f>I888*AO888</f>
        <v>0</v>
      </c>
      <c r="L888" s="87">
        <f>I888*AP888</f>
        <v>0</v>
      </c>
      <c r="M888" s="87">
        <f>I888*J888</f>
        <v>0</v>
      </c>
      <c r="N888" s="77" t="s">
        <v>1556</v>
      </c>
      <c r="O888" s="67"/>
      <c r="Z888" s="28">
        <f>IF(AQ888="5",BJ888,0)</f>
        <v>0</v>
      </c>
      <c r="AB888" s="28">
        <f>IF(AQ888="1",BH888,0)</f>
        <v>0</v>
      </c>
      <c r="AC888" s="28">
        <f>IF(AQ888="1",BI888,0)</f>
        <v>0</v>
      </c>
      <c r="AD888" s="28">
        <f>IF(AQ888="7",BH888,0)</f>
        <v>0</v>
      </c>
      <c r="AE888" s="28">
        <f>IF(AQ888="7",BI888,0)</f>
        <v>0</v>
      </c>
      <c r="AF888" s="28">
        <f>IF(AQ888="2",BH888,0)</f>
        <v>0</v>
      </c>
      <c r="AG888" s="28">
        <f>IF(AQ888="2",BI888,0)</f>
        <v>0</v>
      </c>
      <c r="AH888" s="28">
        <f>IF(AQ888="0",BJ888,0)</f>
        <v>0</v>
      </c>
      <c r="AI888" s="27" t="s">
        <v>283</v>
      </c>
      <c r="AJ888" s="18">
        <f>IF(AN888=0,M888,0)</f>
        <v>0</v>
      </c>
      <c r="AK888" s="18">
        <f>IF(AN888=15,M888,0)</f>
        <v>0</v>
      </c>
      <c r="AL888" s="18">
        <f>IF(AN888=21,M888,0)</f>
        <v>0</v>
      </c>
      <c r="AN888" s="28">
        <v>15</v>
      </c>
      <c r="AO888" s="28">
        <f>J888*0</f>
        <v>0</v>
      </c>
      <c r="AP888" s="28">
        <f>J888*(1-0)</f>
        <v>0</v>
      </c>
      <c r="AQ888" s="29" t="s">
        <v>11</v>
      </c>
      <c r="AV888" s="28">
        <f>AW888+AX888</f>
        <v>0</v>
      </c>
      <c r="AW888" s="28">
        <f>I888*AO888</f>
        <v>0</v>
      </c>
      <c r="AX888" s="28">
        <f>I888*AP888</f>
        <v>0</v>
      </c>
      <c r="AY888" s="31" t="s">
        <v>1597</v>
      </c>
      <c r="AZ888" s="31" t="s">
        <v>1623</v>
      </c>
      <c r="BA888" s="27" t="s">
        <v>1628</v>
      </c>
      <c r="BC888" s="28">
        <f>AW888+AX888</f>
        <v>0</v>
      </c>
      <c r="BD888" s="28">
        <f>J888/(100-BE888)*100</f>
        <v>0</v>
      </c>
      <c r="BE888" s="28">
        <v>0</v>
      </c>
      <c r="BF888" s="28">
        <f>888</f>
        <v>888</v>
      </c>
      <c r="BH888" s="18">
        <f>I888*AO888</f>
        <v>0</v>
      </c>
      <c r="BI888" s="18">
        <f>I888*AP888</f>
        <v>0</v>
      </c>
      <c r="BJ888" s="18">
        <f>I888*J888</f>
        <v>0</v>
      </c>
      <c r="BK888" s="18" t="s">
        <v>1634</v>
      </c>
      <c r="BL888" s="28">
        <v>771</v>
      </c>
    </row>
    <row r="889" spans="1:15" ht="12.75">
      <c r="A889" s="89"/>
      <c r="B889" s="90"/>
      <c r="C889" s="90"/>
      <c r="D889" s="84" t="s">
        <v>1150</v>
      </c>
      <c r="G889" s="91"/>
      <c r="H889" s="90"/>
      <c r="I889" s="92">
        <v>166.78</v>
      </c>
      <c r="J889" s="90"/>
      <c r="K889" s="90"/>
      <c r="L889" s="90"/>
      <c r="M889" s="90"/>
      <c r="N889" s="79"/>
      <c r="O889" s="67"/>
    </row>
    <row r="890" spans="1:47" ht="12.75">
      <c r="A890" s="72"/>
      <c r="B890" s="73" t="s">
        <v>283</v>
      </c>
      <c r="C890" s="73" t="s">
        <v>499</v>
      </c>
      <c r="D890" s="130" t="s">
        <v>1151</v>
      </c>
      <c r="E890" s="131"/>
      <c r="F890" s="131"/>
      <c r="G890" s="132"/>
      <c r="H890" s="72" t="s">
        <v>6</v>
      </c>
      <c r="I890" s="72" t="s">
        <v>6</v>
      </c>
      <c r="J890" s="72" t="s">
        <v>6</v>
      </c>
      <c r="K890" s="76">
        <f>SUM(K891:K895)</f>
        <v>0</v>
      </c>
      <c r="L890" s="76">
        <f>SUM(L891:L895)</f>
        <v>0</v>
      </c>
      <c r="M890" s="76">
        <f>SUM(M891:M895)</f>
        <v>0</v>
      </c>
      <c r="N890" s="71"/>
      <c r="O890" s="67"/>
      <c r="AI890" s="27" t="s">
        <v>283</v>
      </c>
      <c r="AS890" s="33">
        <f>SUM(AJ891:AJ895)</f>
        <v>0</v>
      </c>
      <c r="AT890" s="33">
        <f>SUM(AK891:AK895)</f>
        <v>0</v>
      </c>
      <c r="AU890" s="33">
        <f>SUM(AL891:AL895)</f>
        <v>0</v>
      </c>
    </row>
    <row r="891" spans="1:64" ht="12.75">
      <c r="A891" s="81" t="s">
        <v>205</v>
      </c>
      <c r="B891" s="81" t="s">
        <v>283</v>
      </c>
      <c r="C891" s="81" t="s">
        <v>500</v>
      </c>
      <c r="D891" s="139" t="s">
        <v>1152</v>
      </c>
      <c r="E891" s="134"/>
      <c r="F891" s="134"/>
      <c r="G891" s="140"/>
      <c r="H891" s="81" t="s">
        <v>1535</v>
      </c>
      <c r="I891" s="87">
        <v>102.72319</v>
      </c>
      <c r="J891" s="87">
        <v>0</v>
      </c>
      <c r="K891" s="87">
        <f>I891*AO891</f>
        <v>0</v>
      </c>
      <c r="L891" s="87">
        <f>I891*AP891</f>
        <v>0</v>
      </c>
      <c r="M891" s="87">
        <f>I891*J891</f>
        <v>0</v>
      </c>
      <c r="N891" s="77" t="s">
        <v>1556</v>
      </c>
      <c r="O891" s="67"/>
      <c r="Z891" s="28">
        <f>IF(AQ891="5",BJ891,0)</f>
        <v>0</v>
      </c>
      <c r="AB891" s="28">
        <f>IF(AQ891="1",BH891,0)</f>
        <v>0</v>
      </c>
      <c r="AC891" s="28">
        <f>IF(AQ891="1",BI891,0)</f>
        <v>0</v>
      </c>
      <c r="AD891" s="28">
        <f>IF(AQ891="7",BH891,0)</f>
        <v>0</v>
      </c>
      <c r="AE891" s="28">
        <f>IF(AQ891="7",BI891,0)</f>
        <v>0</v>
      </c>
      <c r="AF891" s="28">
        <f>IF(AQ891="2",BH891,0)</f>
        <v>0</v>
      </c>
      <c r="AG891" s="28">
        <f>IF(AQ891="2",BI891,0)</f>
        <v>0</v>
      </c>
      <c r="AH891" s="28">
        <f>IF(AQ891="0",BJ891,0)</f>
        <v>0</v>
      </c>
      <c r="AI891" s="27" t="s">
        <v>283</v>
      </c>
      <c r="AJ891" s="18">
        <f>IF(AN891=0,M891,0)</f>
        <v>0</v>
      </c>
      <c r="AK891" s="18">
        <f>IF(AN891=15,M891,0)</f>
        <v>0</v>
      </c>
      <c r="AL891" s="18">
        <f>IF(AN891=21,M891,0)</f>
        <v>0</v>
      </c>
      <c r="AN891" s="28">
        <v>15</v>
      </c>
      <c r="AO891" s="28">
        <f>J891*0.577873645206978</f>
        <v>0</v>
      </c>
      <c r="AP891" s="28">
        <f>J891*(1-0.577873645206978)</f>
        <v>0</v>
      </c>
      <c r="AQ891" s="29" t="s">
        <v>13</v>
      </c>
      <c r="AV891" s="28">
        <f>AW891+AX891</f>
        <v>0</v>
      </c>
      <c r="AW891" s="28">
        <f>I891*AO891</f>
        <v>0</v>
      </c>
      <c r="AX891" s="28">
        <f>I891*AP891</f>
        <v>0</v>
      </c>
      <c r="AY891" s="31" t="s">
        <v>1598</v>
      </c>
      <c r="AZ891" s="31" t="s">
        <v>1624</v>
      </c>
      <c r="BA891" s="27" t="s">
        <v>1628</v>
      </c>
      <c r="BC891" s="28">
        <f>AW891+AX891</f>
        <v>0</v>
      </c>
      <c r="BD891" s="28">
        <f>J891/(100-BE891)*100</f>
        <v>0</v>
      </c>
      <c r="BE891" s="28">
        <v>0</v>
      </c>
      <c r="BF891" s="28">
        <f>891</f>
        <v>891</v>
      </c>
      <c r="BH891" s="18">
        <f>I891*AO891</f>
        <v>0</v>
      </c>
      <c r="BI891" s="18">
        <f>I891*AP891</f>
        <v>0</v>
      </c>
      <c r="BJ891" s="18">
        <f>I891*J891</f>
        <v>0</v>
      </c>
      <c r="BK891" s="18" t="s">
        <v>1634</v>
      </c>
      <c r="BL891" s="28">
        <v>783</v>
      </c>
    </row>
    <row r="892" spans="1:15" ht="12.75">
      <c r="A892" s="89"/>
      <c r="B892" s="90"/>
      <c r="C892" s="90"/>
      <c r="D892" s="84" t="s">
        <v>1153</v>
      </c>
      <c r="G892" s="91" t="s">
        <v>1496</v>
      </c>
      <c r="H892" s="90"/>
      <c r="I892" s="92">
        <v>93.38472</v>
      </c>
      <c r="J892" s="90"/>
      <c r="K892" s="90"/>
      <c r="L892" s="90"/>
      <c r="M892" s="90"/>
      <c r="N892" s="79"/>
      <c r="O892" s="67"/>
    </row>
    <row r="893" spans="1:15" ht="12.75">
      <c r="A893" s="82"/>
      <c r="B893" s="83"/>
      <c r="C893" s="83"/>
      <c r="D893" s="85" t="s">
        <v>1154</v>
      </c>
      <c r="G893" s="86"/>
      <c r="H893" s="83"/>
      <c r="I893" s="88">
        <v>9.33847</v>
      </c>
      <c r="J893" s="83"/>
      <c r="K893" s="83"/>
      <c r="L893" s="83"/>
      <c r="M893" s="83"/>
      <c r="N893" s="80"/>
      <c r="O893" s="67"/>
    </row>
    <row r="894" spans="1:15" ht="12.75">
      <c r="A894" s="3"/>
      <c r="C894" s="12" t="s">
        <v>296</v>
      </c>
      <c r="D894" s="142" t="s">
        <v>622</v>
      </c>
      <c r="E894" s="143"/>
      <c r="F894" s="143"/>
      <c r="G894" s="143"/>
      <c r="H894" s="143"/>
      <c r="I894" s="143"/>
      <c r="J894" s="143"/>
      <c r="K894" s="143"/>
      <c r="L894" s="143"/>
      <c r="M894" s="143"/>
      <c r="N894" s="144"/>
      <c r="O894" s="3"/>
    </row>
    <row r="895" spans="1:64" ht="12.75">
      <c r="A895" s="74" t="s">
        <v>206</v>
      </c>
      <c r="B895" s="74" t="s">
        <v>283</v>
      </c>
      <c r="C895" s="74" t="s">
        <v>501</v>
      </c>
      <c r="D895" s="133" t="s">
        <v>1155</v>
      </c>
      <c r="E895" s="134"/>
      <c r="F895" s="134"/>
      <c r="G895" s="135"/>
      <c r="H895" s="74" t="s">
        <v>1535</v>
      </c>
      <c r="I895" s="75">
        <v>0.48</v>
      </c>
      <c r="J895" s="75">
        <v>0</v>
      </c>
      <c r="K895" s="75">
        <f>I895*AO895</f>
        <v>0</v>
      </c>
      <c r="L895" s="75">
        <f>I895*AP895</f>
        <v>0</v>
      </c>
      <c r="M895" s="75">
        <f>I895*J895</f>
        <v>0</v>
      </c>
      <c r="N895" s="78" t="s">
        <v>1556</v>
      </c>
      <c r="O895" s="67"/>
      <c r="Z895" s="28">
        <f>IF(AQ895="5",BJ895,0)</f>
        <v>0</v>
      </c>
      <c r="AB895" s="28">
        <f>IF(AQ895="1",BH895,0)</f>
        <v>0</v>
      </c>
      <c r="AC895" s="28">
        <f>IF(AQ895="1",BI895,0)</f>
        <v>0</v>
      </c>
      <c r="AD895" s="28">
        <f>IF(AQ895="7",BH895,0)</f>
        <v>0</v>
      </c>
      <c r="AE895" s="28">
        <f>IF(AQ895="7",BI895,0)</f>
        <v>0</v>
      </c>
      <c r="AF895" s="28">
        <f>IF(AQ895="2",BH895,0)</f>
        <v>0</v>
      </c>
      <c r="AG895" s="28">
        <f>IF(AQ895="2",BI895,0)</f>
        <v>0</v>
      </c>
      <c r="AH895" s="28">
        <f>IF(AQ895="0",BJ895,0)</f>
        <v>0</v>
      </c>
      <c r="AI895" s="27" t="s">
        <v>283</v>
      </c>
      <c r="AJ895" s="18">
        <f>IF(AN895=0,M895,0)</f>
        <v>0</v>
      </c>
      <c r="AK895" s="18">
        <f>IF(AN895=15,M895,0)</f>
        <v>0</v>
      </c>
      <c r="AL895" s="18">
        <f>IF(AN895=21,M895,0)</f>
        <v>0</v>
      </c>
      <c r="AN895" s="28">
        <v>15</v>
      </c>
      <c r="AO895" s="28">
        <f>J895*0.410426065162907</f>
        <v>0</v>
      </c>
      <c r="AP895" s="28">
        <f>J895*(1-0.410426065162907)</f>
        <v>0</v>
      </c>
      <c r="AQ895" s="29" t="s">
        <v>13</v>
      </c>
      <c r="AV895" s="28">
        <f>AW895+AX895</f>
        <v>0</v>
      </c>
      <c r="AW895" s="28">
        <f>I895*AO895</f>
        <v>0</v>
      </c>
      <c r="AX895" s="28">
        <f>I895*AP895</f>
        <v>0</v>
      </c>
      <c r="AY895" s="31" t="s">
        <v>1598</v>
      </c>
      <c r="AZ895" s="31" t="s">
        <v>1624</v>
      </c>
      <c r="BA895" s="27" t="s">
        <v>1628</v>
      </c>
      <c r="BC895" s="28">
        <f>AW895+AX895</f>
        <v>0</v>
      </c>
      <c r="BD895" s="28">
        <f>J895/(100-BE895)*100</f>
        <v>0</v>
      </c>
      <c r="BE895" s="28">
        <v>0</v>
      </c>
      <c r="BF895" s="28">
        <f>895</f>
        <v>895</v>
      </c>
      <c r="BH895" s="18">
        <f>I895*AO895</f>
        <v>0</v>
      </c>
      <c r="BI895" s="18">
        <f>I895*AP895</f>
        <v>0</v>
      </c>
      <c r="BJ895" s="18">
        <f>I895*J895</f>
        <v>0</v>
      </c>
      <c r="BK895" s="18" t="s">
        <v>1634</v>
      </c>
      <c r="BL895" s="28">
        <v>783</v>
      </c>
    </row>
    <row r="896" spans="1:15" ht="12.75">
      <c r="A896" s="3"/>
      <c r="D896" s="136" t="s">
        <v>1156</v>
      </c>
      <c r="E896" s="137"/>
      <c r="F896" s="137"/>
      <c r="G896" s="137"/>
      <c r="H896" s="137"/>
      <c r="I896" s="137"/>
      <c r="J896" s="137"/>
      <c r="K896" s="137"/>
      <c r="L896" s="137"/>
      <c r="M896" s="137"/>
      <c r="N896" s="138"/>
      <c r="O896" s="3"/>
    </row>
    <row r="897" spans="1:15" ht="12.75">
      <c r="A897" s="82"/>
      <c r="B897" s="83"/>
      <c r="C897" s="83"/>
      <c r="D897" s="85" t="s">
        <v>1157</v>
      </c>
      <c r="G897" s="86" t="s">
        <v>1497</v>
      </c>
      <c r="H897" s="83"/>
      <c r="I897" s="88">
        <v>0.48</v>
      </c>
      <c r="J897" s="83"/>
      <c r="K897" s="83"/>
      <c r="L897" s="83"/>
      <c r="M897" s="83"/>
      <c r="N897" s="80"/>
      <c r="O897" s="67"/>
    </row>
    <row r="898" spans="1:15" ht="12.75">
      <c r="A898" s="3"/>
      <c r="C898" s="12" t="s">
        <v>296</v>
      </c>
      <c r="D898" s="142" t="s">
        <v>622</v>
      </c>
      <c r="E898" s="143"/>
      <c r="F898" s="143"/>
      <c r="G898" s="143"/>
      <c r="H898" s="143"/>
      <c r="I898" s="143"/>
      <c r="J898" s="143"/>
      <c r="K898" s="143"/>
      <c r="L898" s="143"/>
      <c r="M898" s="143"/>
      <c r="N898" s="144"/>
      <c r="O898" s="3"/>
    </row>
    <row r="899" spans="1:47" ht="12.75">
      <c r="A899" s="72"/>
      <c r="B899" s="73" t="s">
        <v>283</v>
      </c>
      <c r="C899" s="73" t="s">
        <v>502</v>
      </c>
      <c r="D899" s="130" t="s">
        <v>1158</v>
      </c>
      <c r="E899" s="131"/>
      <c r="F899" s="131"/>
      <c r="G899" s="132"/>
      <c r="H899" s="72" t="s">
        <v>6</v>
      </c>
      <c r="I899" s="72" t="s">
        <v>6</v>
      </c>
      <c r="J899" s="72" t="s">
        <v>6</v>
      </c>
      <c r="K899" s="76">
        <f>SUM(K900:K900)</f>
        <v>0</v>
      </c>
      <c r="L899" s="76">
        <f>SUM(L900:L900)</f>
        <v>0</v>
      </c>
      <c r="M899" s="76">
        <f>SUM(M900:M900)</f>
        <v>0</v>
      </c>
      <c r="N899" s="71"/>
      <c r="O899" s="67"/>
      <c r="AI899" s="27" t="s">
        <v>283</v>
      </c>
      <c r="AS899" s="33">
        <f>SUM(AJ900:AJ900)</f>
        <v>0</v>
      </c>
      <c r="AT899" s="33">
        <f>SUM(AK900:AK900)</f>
        <v>0</v>
      </c>
      <c r="AU899" s="33">
        <f>SUM(AL900:AL900)</f>
        <v>0</v>
      </c>
    </row>
    <row r="900" spans="1:64" ht="12.75">
      <c r="A900" s="74" t="s">
        <v>207</v>
      </c>
      <c r="B900" s="74" t="s">
        <v>283</v>
      </c>
      <c r="C900" s="74" t="s">
        <v>503</v>
      </c>
      <c r="D900" s="133" t="s">
        <v>1159</v>
      </c>
      <c r="E900" s="134"/>
      <c r="F900" s="134"/>
      <c r="G900" s="135"/>
      <c r="H900" s="74" t="s">
        <v>1535</v>
      </c>
      <c r="I900" s="75">
        <v>135.413</v>
      </c>
      <c r="J900" s="75">
        <v>0</v>
      </c>
      <c r="K900" s="75">
        <f>I900*AO900</f>
        <v>0</v>
      </c>
      <c r="L900" s="75">
        <f>I900*AP900</f>
        <v>0</v>
      </c>
      <c r="M900" s="75">
        <f>I900*J900</f>
        <v>0</v>
      </c>
      <c r="N900" s="78" t="s">
        <v>1556</v>
      </c>
      <c r="O900" s="67"/>
      <c r="Z900" s="28">
        <f>IF(AQ900="5",BJ900,0)</f>
        <v>0</v>
      </c>
      <c r="AB900" s="28">
        <f>IF(AQ900="1",BH900,0)</f>
        <v>0</v>
      </c>
      <c r="AC900" s="28">
        <f>IF(AQ900="1",BI900,0)</f>
        <v>0</v>
      </c>
      <c r="AD900" s="28">
        <f>IF(AQ900="7",BH900,0)</f>
        <v>0</v>
      </c>
      <c r="AE900" s="28">
        <f>IF(AQ900="7",BI900,0)</f>
        <v>0</v>
      </c>
      <c r="AF900" s="28">
        <f>IF(AQ900="2",BH900,0)</f>
        <v>0</v>
      </c>
      <c r="AG900" s="28">
        <f>IF(AQ900="2",BI900,0)</f>
        <v>0</v>
      </c>
      <c r="AH900" s="28">
        <f>IF(AQ900="0",BJ900,0)</f>
        <v>0</v>
      </c>
      <c r="AI900" s="27" t="s">
        <v>283</v>
      </c>
      <c r="AJ900" s="18">
        <f>IF(AN900=0,M900,0)</f>
        <v>0</v>
      </c>
      <c r="AK900" s="18">
        <f>IF(AN900=15,M900,0)</f>
        <v>0</v>
      </c>
      <c r="AL900" s="18">
        <f>IF(AN900=21,M900,0)</f>
        <v>0</v>
      </c>
      <c r="AN900" s="28">
        <v>15</v>
      </c>
      <c r="AO900" s="28">
        <f>J900*0.248931561083295</f>
        <v>0</v>
      </c>
      <c r="AP900" s="28">
        <f>J900*(1-0.248931561083295)</f>
        <v>0</v>
      </c>
      <c r="AQ900" s="29" t="s">
        <v>13</v>
      </c>
      <c r="AV900" s="28">
        <f>AW900+AX900</f>
        <v>0</v>
      </c>
      <c r="AW900" s="28">
        <f>I900*AO900</f>
        <v>0</v>
      </c>
      <c r="AX900" s="28">
        <f>I900*AP900</f>
        <v>0</v>
      </c>
      <c r="AY900" s="31" t="s">
        <v>1599</v>
      </c>
      <c r="AZ900" s="31" t="s">
        <v>1624</v>
      </c>
      <c r="BA900" s="27" t="s">
        <v>1628</v>
      </c>
      <c r="BC900" s="28">
        <f>AW900+AX900</f>
        <v>0</v>
      </c>
      <c r="BD900" s="28">
        <f>J900/(100-BE900)*100</f>
        <v>0</v>
      </c>
      <c r="BE900" s="28">
        <v>0</v>
      </c>
      <c r="BF900" s="28">
        <f>900</f>
        <v>900</v>
      </c>
      <c r="BH900" s="18">
        <f>I900*AO900</f>
        <v>0</v>
      </c>
      <c r="BI900" s="18">
        <f>I900*AP900</f>
        <v>0</v>
      </c>
      <c r="BJ900" s="18">
        <f>I900*J900</f>
        <v>0</v>
      </c>
      <c r="BK900" s="18" t="s">
        <v>1634</v>
      </c>
      <c r="BL900" s="28">
        <v>784</v>
      </c>
    </row>
    <row r="901" spans="1:15" ht="12.75">
      <c r="A901" s="3"/>
      <c r="D901" s="136" t="s">
        <v>1160</v>
      </c>
      <c r="E901" s="137"/>
      <c r="F901" s="137"/>
      <c r="G901" s="137"/>
      <c r="H901" s="137"/>
      <c r="I901" s="137"/>
      <c r="J901" s="137"/>
      <c r="K901" s="137"/>
      <c r="L901" s="137"/>
      <c r="M901" s="137"/>
      <c r="N901" s="138"/>
      <c r="O901" s="3"/>
    </row>
    <row r="902" spans="1:15" ht="12.75">
      <c r="A902" s="89"/>
      <c r="B902" s="90"/>
      <c r="C902" s="90"/>
      <c r="D902" s="84" t="s">
        <v>686</v>
      </c>
      <c r="G902" s="91" t="s">
        <v>1498</v>
      </c>
      <c r="H902" s="90"/>
      <c r="I902" s="92">
        <v>73.593</v>
      </c>
      <c r="J902" s="90"/>
      <c r="K902" s="90"/>
      <c r="L902" s="90"/>
      <c r="M902" s="90"/>
      <c r="N902" s="79"/>
      <c r="O902" s="67"/>
    </row>
    <row r="903" spans="1:15" ht="12.75">
      <c r="A903" s="82"/>
      <c r="B903" s="83"/>
      <c r="C903" s="83"/>
      <c r="D903" s="85" t="s">
        <v>650</v>
      </c>
      <c r="G903" s="86" t="s">
        <v>1346</v>
      </c>
      <c r="H903" s="83"/>
      <c r="I903" s="88">
        <v>61.82</v>
      </c>
      <c r="J903" s="83"/>
      <c r="K903" s="83"/>
      <c r="L903" s="83"/>
      <c r="M903" s="83"/>
      <c r="N903" s="80"/>
      <c r="O903" s="67"/>
    </row>
    <row r="904" spans="1:15" ht="12.75">
      <c r="A904" s="3"/>
      <c r="C904" s="12" t="s">
        <v>296</v>
      </c>
      <c r="D904" s="142" t="s">
        <v>622</v>
      </c>
      <c r="E904" s="143"/>
      <c r="F904" s="143"/>
      <c r="G904" s="143"/>
      <c r="H904" s="143"/>
      <c r="I904" s="143"/>
      <c r="J904" s="143"/>
      <c r="K904" s="143"/>
      <c r="L904" s="143"/>
      <c r="M904" s="143"/>
      <c r="N904" s="144"/>
      <c r="O904" s="3"/>
    </row>
    <row r="905" spans="1:47" ht="12.75">
      <c r="A905" s="72"/>
      <c r="B905" s="73" t="s">
        <v>283</v>
      </c>
      <c r="C905" s="73" t="s">
        <v>504</v>
      </c>
      <c r="D905" s="130" t="s">
        <v>1161</v>
      </c>
      <c r="E905" s="131"/>
      <c r="F905" s="131"/>
      <c r="G905" s="132"/>
      <c r="H905" s="72" t="s">
        <v>6</v>
      </c>
      <c r="I905" s="72" t="s">
        <v>6</v>
      </c>
      <c r="J905" s="72" t="s">
        <v>6</v>
      </c>
      <c r="K905" s="76">
        <f>SUM(K906:K914)</f>
        <v>0</v>
      </c>
      <c r="L905" s="76">
        <f>SUM(L906:L914)</f>
        <v>0</v>
      </c>
      <c r="M905" s="76">
        <f>SUM(M906:M914)</f>
        <v>0</v>
      </c>
      <c r="N905" s="71"/>
      <c r="O905" s="67"/>
      <c r="AI905" s="27" t="s">
        <v>283</v>
      </c>
      <c r="AS905" s="33">
        <f>SUM(AJ906:AJ914)</f>
        <v>0</v>
      </c>
      <c r="AT905" s="33">
        <f>SUM(AK906:AK914)</f>
        <v>0</v>
      </c>
      <c r="AU905" s="33">
        <f>SUM(AL906:AL914)</f>
        <v>0</v>
      </c>
    </row>
    <row r="906" spans="1:64" ht="12.75">
      <c r="A906" s="81" t="s">
        <v>208</v>
      </c>
      <c r="B906" s="81" t="s">
        <v>283</v>
      </c>
      <c r="C906" s="81" t="s">
        <v>505</v>
      </c>
      <c r="D906" s="139" t="s">
        <v>1162</v>
      </c>
      <c r="E906" s="134"/>
      <c r="F906" s="134"/>
      <c r="G906" s="140"/>
      <c r="H906" s="81" t="s">
        <v>1535</v>
      </c>
      <c r="I906" s="87">
        <v>10.2</v>
      </c>
      <c r="J906" s="87">
        <v>0</v>
      </c>
      <c r="K906" s="87">
        <f>I906*AO906</f>
        <v>0</v>
      </c>
      <c r="L906" s="87">
        <f>I906*AP906</f>
        <v>0</v>
      </c>
      <c r="M906" s="87">
        <f>I906*J906</f>
        <v>0</v>
      </c>
      <c r="N906" s="77" t="s">
        <v>1556</v>
      </c>
      <c r="O906" s="67"/>
      <c r="Z906" s="28">
        <f>IF(AQ906="5",BJ906,0)</f>
        <v>0</v>
      </c>
      <c r="AB906" s="28">
        <f>IF(AQ906="1",BH906,0)</f>
        <v>0</v>
      </c>
      <c r="AC906" s="28">
        <f>IF(AQ906="1",BI906,0)</f>
        <v>0</v>
      </c>
      <c r="AD906" s="28">
        <f>IF(AQ906="7",BH906,0)</f>
        <v>0</v>
      </c>
      <c r="AE906" s="28">
        <f>IF(AQ906="7",BI906,0)</f>
        <v>0</v>
      </c>
      <c r="AF906" s="28">
        <f>IF(AQ906="2",BH906,0)</f>
        <v>0</v>
      </c>
      <c r="AG906" s="28">
        <f>IF(AQ906="2",BI906,0)</f>
        <v>0</v>
      </c>
      <c r="AH906" s="28">
        <f>IF(AQ906="0",BJ906,0)</f>
        <v>0</v>
      </c>
      <c r="AI906" s="27" t="s">
        <v>283</v>
      </c>
      <c r="AJ906" s="18">
        <f>IF(AN906=0,M906,0)</f>
        <v>0</v>
      </c>
      <c r="AK906" s="18">
        <f>IF(AN906=15,M906,0)</f>
        <v>0</v>
      </c>
      <c r="AL906" s="18">
        <f>IF(AN906=21,M906,0)</f>
        <v>0</v>
      </c>
      <c r="AN906" s="28">
        <v>15</v>
      </c>
      <c r="AO906" s="28">
        <f>J906*0</f>
        <v>0</v>
      </c>
      <c r="AP906" s="28">
        <f>J906*(1-0)</f>
        <v>0</v>
      </c>
      <c r="AQ906" s="29" t="s">
        <v>13</v>
      </c>
      <c r="AV906" s="28">
        <f>AW906+AX906</f>
        <v>0</v>
      </c>
      <c r="AW906" s="28">
        <f>I906*AO906</f>
        <v>0</v>
      </c>
      <c r="AX906" s="28">
        <f>I906*AP906</f>
        <v>0</v>
      </c>
      <c r="AY906" s="31" t="s">
        <v>1600</v>
      </c>
      <c r="AZ906" s="31" t="s">
        <v>1624</v>
      </c>
      <c r="BA906" s="27" t="s">
        <v>1628</v>
      </c>
      <c r="BC906" s="28">
        <f>AW906+AX906</f>
        <v>0</v>
      </c>
      <c r="BD906" s="28">
        <f>J906/(100-BE906)*100</f>
        <v>0</v>
      </c>
      <c r="BE906" s="28">
        <v>0</v>
      </c>
      <c r="BF906" s="28">
        <f>906</f>
        <v>906</v>
      </c>
      <c r="BH906" s="18">
        <f>I906*AO906</f>
        <v>0</v>
      </c>
      <c r="BI906" s="18">
        <f>I906*AP906</f>
        <v>0</v>
      </c>
      <c r="BJ906" s="18">
        <f>I906*J906</f>
        <v>0</v>
      </c>
      <c r="BK906" s="18" t="s">
        <v>1634</v>
      </c>
      <c r="BL906" s="28">
        <v>787</v>
      </c>
    </row>
    <row r="907" spans="1:15" ht="12.75">
      <c r="A907" s="82"/>
      <c r="B907" s="83"/>
      <c r="C907" s="83"/>
      <c r="D907" s="85" t="s">
        <v>1163</v>
      </c>
      <c r="G907" s="86" t="s">
        <v>1499</v>
      </c>
      <c r="H907" s="83"/>
      <c r="I907" s="88">
        <v>10.2</v>
      </c>
      <c r="J907" s="83"/>
      <c r="K907" s="83"/>
      <c r="L907" s="83"/>
      <c r="M907" s="83"/>
      <c r="N907" s="80"/>
      <c r="O907" s="67"/>
    </row>
    <row r="908" spans="1:15" ht="12.75">
      <c r="A908" s="3"/>
      <c r="C908" s="12" t="s">
        <v>296</v>
      </c>
      <c r="D908" s="142" t="s">
        <v>877</v>
      </c>
      <c r="E908" s="143"/>
      <c r="F908" s="143"/>
      <c r="G908" s="143"/>
      <c r="H908" s="143"/>
      <c r="I908" s="143"/>
      <c r="J908" s="143"/>
      <c r="K908" s="143"/>
      <c r="L908" s="143"/>
      <c r="M908" s="143"/>
      <c r="N908" s="144"/>
      <c r="O908" s="3"/>
    </row>
    <row r="909" spans="1:64" ht="12.75">
      <c r="A909" s="74" t="s">
        <v>209</v>
      </c>
      <c r="B909" s="74" t="s">
        <v>283</v>
      </c>
      <c r="C909" s="74" t="s">
        <v>506</v>
      </c>
      <c r="D909" s="133" t="s">
        <v>1164</v>
      </c>
      <c r="E909" s="134"/>
      <c r="F909" s="134"/>
      <c r="G909" s="135"/>
      <c r="H909" s="74" t="s">
        <v>1535</v>
      </c>
      <c r="I909" s="75">
        <v>10.5944</v>
      </c>
      <c r="J909" s="75">
        <v>0</v>
      </c>
      <c r="K909" s="75">
        <f>I909*AO909</f>
        <v>0</v>
      </c>
      <c r="L909" s="75">
        <f>I909*AP909</f>
        <v>0</v>
      </c>
      <c r="M909" s="75">
        <f>I909*J909</f>
        <v>0</v>
      </c>
      <c r="N909" s="78" t="s">
        <v>1555</v>
      </c>
      <c r="O909" s="67"/>
      <c r="Z909" s="28">
        <f>IF(AQ909="5",BJ909,0)</f>
        <v>0</v>
      </c>
      <c r="AB909" s="28">
        <f>IF(AQ909="1",BH909,0)</f>
        <v>0</v>
      </c>
      <c r="AC909" s="28">
        <f>IF(AQ909="1",BI909,0)</f>
        <v>0</v>
      </c>
      <c r="AD909" s="28">
        <f>IF(AQ909="7",BH909,0)</f>
        <v>0</v>
      </c>
      <c r="AE909" s="28">
        <f>IF(AQ909="7",BI909,0)</f>
        <v>0</v>
      </c>
      <c r="AF909" s="28">
        <f>IF(AQ909="2",BH909,0)</f>
        <v>0</v>
      </c>
      <c r="AG909" s="28">
        <f>IF(AQ909="2",BI909,0)</f>
        <v>0</v>
      </c>
      <c r="AH909" s="28">
        <f>IF(AQ909="0",BJ909,0)</f>
        <v>0</v>
      </c>
      <c r="AI909" s="27" t="s">
        <v>283</v>
      </c>
      <c r="AJ909" s="18">
        <f>IF(AN909=0,M909,0)</f>
        <v>0</v>
      </c>
      <c r="AK909" s="18">
        <f>IF(AN909=15,M909,0)</f>
        <v>0</v>
      </c>
      <c r="AL909" s="18">
        <f>IF(AN909=21,M909,0)</f>
        <v>0</v>
      </c>
      <c r="AN909" s="28">
        <v>15</v>
      </c>
      <c r="AO909" s="28">
        <f>J909*0.832765399800382</f>
        <v>0</v>
      </c>
      <c r="AP909" s="28">
        <f>J909*(1-0.832765399800382)</f>
        <v>0</v>
      </c>
      <c r="AQ909" s="29" t="s">
        <v>13</v>
      </c>
      <c r="AV909" s="28">
        <f>AW909+AX909</f>
        <v>0</v>
      </c>
      <c r="AW909" s="28">
        <f>I909*AO909</f>
        <v>0</v>
      </c>
      <c r="AX909" s="28">
        <f>I909*AP909</f>
        <v>0</v>
      </c>
      <c r="AY909" s="31" t="s">
        <v>1600</v>
      </c>
      <c r="AZ909" s="31" t="s">
        <v>1624</v>
      </c>
      <c r="BA909" s="27" t="s">
        <v>1628</v>
      </c>
      <c r="BC909" s="28">
        <f>AW909+AX909</f>
        <v>0</v>
      </c>
      <c r="BD909" s="28">
        <f>J909/(100-BE909)*100</f>
        <v>0</v>
      </c>
      <c r="BE909" s="28">
        <v>0</v>
      </c>
      <c r="BF909" s="28">
        <f>909</f>
        <v>909</v>
      </c>
      <c r="BH909" s="18">
        <f>I909*AO909</f>
        <v>0</v>
      </c>
      <c r="BI909" s="18">
        <f>I909*AP909</f>
        <v>0</v>
      </c>
      <c r="BJ909" s="18">
        <f>I909*J909</f>
        <v>0</v>
      </c>
      <c r="BK909" s="18" t="s">
        <v>1634</v>
      </c>
      <c r="BL909" s="28">
        <v>787</v>
      </c>
    </row>
    <row r="910" spans="1:15" ht="25.5" customHeight="1">
      <c r="A910" s="3"/>
      <c r="D910" s="136" t="s">
        <v>1165</v>
      </c>
      <c r="E910" s="137"/>
      <c r="F910" s="137"/>
      <c r="G910" s="137"/>
      <c r="H910" s="137"/>
      <c r="I910" s="137"/>
      <c r="J910" s="137"/>
      <c r="K910" s="137"/>
      <c r="L910" s="137"/>
      <c r="M910" s="137"/>
      <c r="N910" s="138"/>
      <c r="O910" s="3"/>
    </row>
    <row r="911" spans="1:15" ht="12.75">
      <c r="A911" s="89"/>
      <c r="B911" s="90"/>
      <c r="C911" s="90"/>
      <c r="D911" s="84" t="s">
        <v>1166</v>
      </c>
      <c r="G911" s="91" t="s">
        <v>1500</v>
      </c>
      <c r="H911" s="90"/>
      <c r="I911" s="92">
        <v>6.724</v>
      </c>
      <c r="J911" s="90"/>
      <c r="K911" s="90"/>
      <c r="L911" s="90"/>
      <c r="M911" s="90"/>
      <c r="N911" s="79"/>
      <c r="O911" s="67"/>
    </row>
    <row r="912" spans="1:15" ht="12.75">
      <c r="A912" s="82"/>
      <c r="B912" s="83"/>
      <c r="C912" s="83"/>
      <c r="D912" s="85" t="s">
        <v>1167</v>
      </c>
      <c r="G912" s="86" t="s">
        <v>1501</v>
      </c>
      <c r="H912" s="83"/>
      <c r="I912" s="88">
        <v>3.8704</v>
      </c>
      <c r="J912" s="83"/>
      <c r="K912" s="83"/>
      <c r="L912" s="83"/>
      <c r="M912" s="83"/>
      <c r="N912" s="80"/>
      <c r="O912" s="67"/>
    </row>
    <row r="913" spans="1:15" ht="12.75">
      <c r="A913" s="3"/>
      <c r="C913" s="12" t="s">
        <v>296</v>
      </c>
      <c r="D913" s="142" t="s">
        <v>1105</v>
      </c>
      <c r="E913" s="143"/>
      <c r="F913" s="143"/>
      <c r="G913" s="143"/>
      <c r="H913" s="143"/>
      <c r="I913" s="143"/>
      <c r="J913" s="143"/>
      <c r="K913" s="143"/>
      <c r="L913" s="143"/>
      <c r="M913" s="143"/>
      <c r="N913" s="144"/>
      <c r="O913" s="3"/>
    </row>
    <row r="914" spans="1:64" ht="12.75">
      <c r="A914" s="81" t="s">
        <v>210</v>
      </c>
      <c r="B914" s="81" t="s">
        <v>283</v>
      </c>
      <c r="C914" s="81" t="s">
        <v>507</v>
      </c>
      <c r="D914" s="139" t="s">
        <v>1168</v>
      </c>
      <c r="E914" s="134"/>
      <c r="F914" s="134"/>
      <c r="G914" s="140"/>
      <c r="H914" s="81" t="s">
        <v>1540</v>
      </c>
      <c r="I914" s="87">
        <v>231.1</v>
      </c>
      <c r="J914" s="87">
        <v>0</v>
      </c>
      <c r="K914" s="87">
        <f>I914*AO914</f>
        <v>0</v>
      </c>
      <c r="L914" s="87">
        <f>I914*AP914</f>
        <v>0</v>
      </c>
      <c r="M914" s="87">
        <f>I914*J914</f>
        <v>0</v>
      </c>
      <c r="N914" s="77" t="s">
        <v>1556</v>
      </c>
      <c r="O914" s="67"/>
      <c r="Z914" s="28">
        <f>IF(AQ914="5",BJ914,0)</f>
        <v>0</v>
      </c>
      <c r="AB914" s="28">
        <f>IF(AQ914="1",BH914,0)</f>
        <v>0</v>
      </c>
      <c r="AC914" s="28">
        <f>IF(AQ914="1",BI914,0)</f>
        <v>0</v>
      </c>
      <c r="AD914" s="28">
        <f>IF(AQ914="7",BH914,0)</f>
        <v>0</v>
      </c>
      <c r="AE914" s="28">
        <f>IF(AQ914="7",BI914,0)</f>
        <v>0</v>
      </c>
      <c r="AF914" s="28">
        <f>IF(AQ914="2",BH914,0)</f>
        <v>0</v>
      </c>
      <c r="AG914" s="28">
        <f>IF(AQ914="2",BI914,0)</f>
        <v>0</v>
      </c>
      <c r="AH914" s="28">
        <f>IF(AQ914="0",BJ914,0)</f>
        <v>0</v>
      </c>
      <c r="AI914" s="27" t="s">
        <v>283</v>
      </c>
      <c r="AJ914" s="18">
        <f>IF(AN914=0,M914,0)</f>
        <v>0</v>
      </c>
      <c r="AK914" s="18">
        <f>IF(AN914=15,M914,0)</f>
        <v>0</v>
      </c>
      <c r="AL914" s="18">
        <f>IF(AN914=21,M914,0)</f>
        <v>0</v>
      </c>
      <c r="AN914" s="28">
        <v>15</v>
      </c>
      <c r="AO914" s="28">
        <f>J914*0</f>
        <v>0</v>
      </c>
      <c r="AP914" s="28">
        <f>J914*(1-0)</f>
        <v>0</v>
      </c>
      <c r="AQ914" s="29" t="s">
        <v>11</v>
      </c>
      <c r="AV914" s="28">
        <f>AW914+AX914</f>
        <v>0</v>
      </c>
      <c r="AW914" s="28">
        <f>I914*AO914</f>
        <v>0</v>
      </c>
      <c r="AX914" s="28">
        <f>I914*AP914</f>
        <v>0</v>
      </c>
      <c r="AY914" s="31" t="s">
        <v>1600</v>
      </c>
      <c r="AZ914" s="31" t="s">
        <v>1624</v>
      </c>
      <c r="BA914" s="27" t="s">
        <v>1628</v>
      </c>
      <c r="BC914" s="28">
        <f>AW914+AX914</f>
        <v>0</v>
      </c>
      <c r="BD914" s="28">
        <f>J914/(100-BE914)*100</f>
        <v>0</v>
      </c>
      <c r="BE914" s="28">
        <v>0</v>
      </c>
      <c r="BF914" s="28">
        <f>914</f>
        <v>914</v>
      </c>
      <c r="BH914" s="18">
        <f>I914*AO914</f>
        <v>0</v>
      </c>
      <c r="BI914" s="18">
        <f>I914*AP914</f>
        <v>0</v>
      </c>
      <c r="BJ914" s="18">
        <f>I914*J914</f>
        <v>0</v>
      </c>
      <c r="BK914" s="18" t="s">
        <v>1634</v>
      </c>
      <c r="BL914" s="28">
        <v>787</v>
      </c>
    </row>
    <row r="915" spans="1:15" ht="12.75">
      <c r="A915" s="89"/>
      <c r="B915" s="90"/>
      <c r="C915" s="90"/>
      <c r="D915" s="84" t="s">
        <v>1169</v>
      </c>
      <c r="G915" s="91"/>
      <c r="H915" s="90"/>
      <c r="I915" s="92">
        <v>231.1</v>
      </c>
      <c r="J915" s="90"/>
      <c r="K915" s="90"/>
      <c r="L915" s="90"/>
      <c r="M915" s="90"/>
      <c r="N915" s="79"/>
      <c r="O915" s="67"/>
    </row>
    <row r="916" spans="1:47" ht="12.75">
      <c r="A916" s="72"/>
      <c r="B916" s="73" t="s">
        <v>283</v>
      </c>
      <c r="C916" s="73" t="s">
        <v>96</v>
      </c>
      <c r="D916" s="130" t="s">
        <v>1170</v>
      </c>
      <c r="E916" s="131"/>
      <c r="F916" s="131"/>
      <c r="G916" s="132"/>
      <c r="H916" s="72" t="s">
        <v>6</v>
      </c>
      <c r="I916" s="72" t="s">
        <v>6</v>
      </c>
      <c r="J916" s="72" t="s">
        <v>6</v>
      </c>
      <c r="K916" s="76">
        <f>SUM(K917:K917)</f>
        <v>0</v>
      </c>
      <c r="L916" s="76">
        <f>SUM(L917:L917)</f>
        <v>0</v>
      </c>
      <c r="M916" s="76">
        <f>SUM(M917:M917)</f>
        <v>0</v>
      </c>
      <c r="N916" s="71"/>
      <c r="O916" s="67"/>
      <c r="AI916" s="27" t="s">
        <v>283</v>
      </c>
      <c r="AS916" s="33">
        <f>SUM(AJ917:AJ917)</f>
        <v>0</v>
      </c>
      <c r="AT916" s="33">
        <f>SUM(AK917:AK917)</f>
        <v>0</v>
      </c>
      <c r="AU916" s="33">
        <f>SUM(AL917:AL917)</f>
        <v>0</v>
      </c>
    </row>
    <row r="917" spans="1:64" ht="12.75">
      <c r="A917" s="81" t="s">
        <v>211</v>
      </c>
      <c r="B917" s="81" t="s">
        <v>283</v>
      </c>
      <c r="C917" s="81" t="s">
        <v>508</v>
      </c>
      <c r="D917" s="139" t="s">
        <v>1171</v>
      </c>
      <c r="E917" s="134"/>
      <c r="F917" s="134"/>
      <c r="G917" s="140"/>
      <c r="H917" s="81" t="s">
        <v>1541</v>
      </c>
      <c r="I917" s="87">
        <v>20</v>
      </c>
      <c r="J917" s="87">
        <v>0</v>
      </c>
      <c r="K917" s="87">
        <f>I917*AO917</f>
        <v>0</v>
      </c>
      <c r="L917" s="87">
        <f>I917*AP917</f>
        <v>0</v>
      </c>
      <c r="M917" s="87">
        <f>I917*J917</f>
        <v>0</v>
      </c>
      <c r="N917" s="77" t="s">
        <v>1555</v>
      </c>
      <c r="O917" s="67"/>
      <c r="Z917" s="28">
        <f>IF(AQ917="5",BJ917,0)</f>
        <v>0</v>
      </c>
      <c r="AB917" s="28">
        <f>IF(AQ917="1",BH917,0)</f>
        <v>0</v>
      </c>
      <c r="AC917" s="28">
        <f>IF(AQ917="1",BI917,0)</f>
        <v>0</v>
      </c>
      <c r="AD917" s="28">
        <f>IF(AQ917="7",BH917,0)</f>
        <v>0</v>
      </c>
      <c r="AE917" s="28">
        <f>IF(AQ917="7",BI917,0)</f>
        <v>0</v>
      </c>
      <c r="AF917" s="28">
        <f>IF(AQ917="2",BH917,0)</f>
        <v>0</v>
      </c>
      <c r="AG917" s="28">
        <f>IF(AQ917="2",BI917,0)</f>
        <v>0</v>
      </c>
      <c r="AH917" s="28">
        <f>IF(AQ917="0",BJ917,0)</f>
        <v>0</v>
      </c>
      <c r="AI917" s="27" t="s">
        <v>283</v>
      </c>
      <c r="AJ917" s="18">
        <f>IF(AN917=0,M917,0)</f>
        <v>0</v>
      </c>
      <c r="AK917" s="18">
        <f>IF(AN917=15,M917,0)</f>
        <v>0</v>
      </c>
      <c r="AL917" s="18">
        <f>IF(AN917=21,M917,0)</f>
        <v>0</v>
      </c>
      <c r="AN917" s="28">
        <v>15</v>
      </c>
      <c r="AO917" s="28">
        <f>J917*0</f>
        <v>0</v>
      </c>
      <c r="AP917" s="28">
        <f>J917*(1-0)</f>
        <v>0</v>
      </c>
      <c r="AQ917" s="29" t="s">
        <v>7</v>
      </c>
      <c r="AV917" s="28">
        <f>AW917+AX917</f>
        <v>0</v>
      </c>
      <c r="AW917" s="28">
        <f>I917*AO917</f>
        <v>0</v>
      </c>
      <c r="AX917" s="28">
        <f>I917*AP917</f>
        <v>0</v>
      </c>
      <c r="AY917" s="31" t="s">
        <v>1601</v>
      </c>
      <c r="AZ917" s="31" t="s">
        <v>1613</v>
      </c>
      <c r="BA917" s="27" t="s">
        <v>1628</v>
      </c>
      <c r="BC917" s="28">
        <f>AW917+AX917</f>
        <v>0</v>
      </c>
      <c r="BD917" s="28">
        <f>J917/(100-BE917)*100</f>
        <v>0</v>
      </c>
      <c r="BE917" s="28">
        <v>0</v>
      </c>
      <c r="BF917" s="28">
        <f>917</f>
        <v>917</v>
      </c>
      <c r="BH917" s="18">
        <f>I917*AO917</f>
        <v>0</v>
      </c>
      <c r="BI917" s="18">
        <f>I917*AP917</f>
        <v>0</v>
      </c>
      <c r="BJ917" s="18">
        <f>I917*J917</f>
        <v>0</v>
      </c>
      <c r="BK917" s="18" t="s">
        <v>1634</v>
      </c>
      <c r="BL917" s="28">
        <v>90</v>
      </c>
    </row>
    <row r="918" spans="1:15" ht="12.75">
      <c r="A918" s="89"/>
      <c r="B918" s="90"/>
      <c r="C918" s="90"/>
      <c r="D918" s="84" t="s">
        <v>26</v>
      </c>
      <c r="G918" s="91"/>
      <c r="H918" s="90"/>
      <c r="I918" s="92">
        <v>20</v>
      </c>
      <c r="J918" s="90"/>
      <c r="K918" s="90"/>
      <c r="L918" s="90"/>
      <c r="M918" s="90"/>
      <c r="N918" s="79"/>
      <c r="O918" s="67"/>
    </row>
    <row r="919" spans="1:15" ht="12.75">
      <c r="A919" s="89"/>
      <c r="B919" s="90"/>
      <c r="C919" s="90"/>
      <c r="D919" s="84" t="s">
        <v>1172</v>
      </c>
      <c r="G919" s="91"/>
      <c r="H919" s="90"/>
      <c r="I919" s="92">
        <v>0</v>
      </c>
      <c r="J919" s="90"/>
      <c r="K919" s="90"/>
      <c r="L919" s="90"/>
      <c r="M919" s="90"/>
      <c r="N919" s="79"/>
      <c r="O919" s="67"/>
    </row>
    <row r="920" spans="1:15" ht="12.75">
      <c r="A920" s="89"/>
      <c r="B920" s="90"/>
      <c r="C920" s="90"/>
      <c r="D920" s="84" t="s">
        <v>1173</v>
      </c>
      <c r="G920" s="91"/>
      <c r="H920" s="90"/>
      <c r="I920" s="92">
        <v>0</v>
      </c>
      <c r="J920" s="90"/>
      <c r="K920" s="90"/>
      <c r="L920" s="90"/>
      <c r="M920" s="90"/>
      <c r="N920" s="79"/>
      <c r="O920" s="67"/>
    </row>
    <row r="921" spans="1:15" ht="12.75">
      <c r="A921" s="89"/>
      <c r="B921" s="90"/>
      <c r="C921" s="90"/>
      <c r="D921" s="84" t="s">
        <v>1174</v>
      </c>
      <c r="G921" s="91"/>
      <c r="H921" s="90"/>
      <c r="I921" s="92">
        <v>0</v>
      </c>
      <c r="J921" s="90"/>
      <c r="K921" s="90"/>
      <c r="L921" s="90"/>
      <c r="M921" s="90"/>
      <c r="N921" s="79"/>
      <c r="O921" s="67"/>
    </row>
    <row r="922" spans="1:15" ht="12.75">
      <c r="A922" s="89"/>
      <c r="B922" s="90"/>
      <c r="C922" s="90"/>
      <c r="D922" s="84" t="s">
        <v>1175</v>
      </c>
      <c r="G922" s="91"/>
      <c r="H922" s="90"/>
      <c r="I922" s="92">
        <v>0</v>
      </c>
      <c r="J922" s="90"/>
      <c r="K922" s="90"/>
      <c r="L922" s="90"/>
      <c r="M922" s="90"/>
      <c r="N922" s="79"/>
      <c r="O922" s="67"/>
    </row>
    <row r="923" spans="1:15" ht="12.75">
      <c r="A923" s="89"/>
      <c r="B923" s="90"/>
      <c r="C923" s="90"/>
      <c r="D923" s="84" t="s">
        <v>1176</v>
      </c>
      <c r="G923" s="91" t="s">
        <v>1502</v>
      </c>
      <c r="H923" s="90"/>
      <c r="I923" s="92">
        <v>0</v>
      </c>
      <c r="J923" s="90"/>
      <c r="K923" s="90"/>
      <c r="L923" s="90"/>
      <c r="M923" s="90"/>
      <c r="N923" s="79"/>
      <c r="O923" s="67"/>
    </row>
    <row r="924" spans="1:15" ht="12.75">
      <c r="A924" s="89"/>
      <c r="B924" s="90"/>
      <c r="C924" s="90"/>
      <c r="D924" s="84" t="s">
        <v>1177</v>
      </c>
      <c r="G924" s="91" t="s">
        <v>1503</v>
      </c>
      <c r="H924" s="90"/>
      <c r="I924" s="92">
        <v>0</v>
      </c>
      <c r="J924" s="90"/>
      <c r="K924" s="90"/>
      <c r="L924" s="90"/>
      <c r="M924" s="90"/>
      <c r="N924" s="79"/>
      <c r="O924" s="67"/>
    </row>
    <row r="925" spans="1:15" ht="12.75">
      <c r="A925" s="89"/>
      <c r="B925" s="90"/>
      <c r="C925" s="90"/>
      <c r="D925" s="84" t="s">
        <v>1178</v>
      </c>
      <c r="G925" s="91" t="s">
        <v>1504</v>
      </c>
      <c r="H925" s="90"/>
      <c r="I925" s="92">
        <v>0</v>
      </c>
      <c r="J925" s="90"/>
      <c r="K925" s="90"/>
      <c r="L925" s="90"/>
      <c r="M925" s="90"/>
      <c r="N925" s="79"/>
      <c r="O925" s="67"/>
    </row>
    <row r="926" spans="1:47" ht="12.75">
      <c r="A926" s="72"/>
      <c r="B926" s="73" t="s">
        <v>283</v>
      </c>
      <c r="C926" s="73" t="s">
        <v>100</v>
      </c>
      <c r="D926" s="130" t="s">
        <v>1179</v>
      </c>
      <c r="E926" s="131"/>
      <c r="F926" s="131"/>
      <c r="G926" s="132"/>
      <c r="H926" s="72" t="s">
        <v>6</v>
      </c>
      <c r="I926" s="72" t="s">
        <v>6</v>
      </c>
      <c r="J926" s="72" t="s">
        <v>6</v>
      </c>
      <c r="K926" s="76">
        <f>SUM(K927:K946)</f>
        <v>0</v>
      </c>
      <c r="L926" s="76">
        <f>SUM(L927:L946)</f>
        <v>0</v>
      </c>
      <c r="M926" s="76">
        <f>SUM(M927:M946)</f>
        <v>0</v>
      </c>
      <c r="N926" s="71"/>
      <c r="O926" s="67"/>
      <c r="AI926" s="27" t="s">
        <v>283</v>
      </c>
      <c r="AS926" s="33">
        <f>SUM(AJ927:AJ946)</f>
        <v>0</v>
      </c>
      <c r="AT926" s="33">
        <f>SUM(AK927:AK946)</f>
        <v>0</v>
      </c>
      <c r="AU926" s="33">
        <f>SUM(AL927:AL946)</f>
        <v>0</v>
      </c>
    </row>
    <row r="927" spans="1:64" ht="12.75">
      <c r="A927" s="74" t="s">
        <v>212</v>
      </c>
      <c r="B927" s="74" t="s">
        <v>283</v>
      </c>
      <c r="C927" s="74" t="s">
        <v>509</v>
      </c>
      <c r="D927" s="133" t="s">
        <v>1180</v>
      </c>
      <c r="E927" s="134"/>
      <c r="F927" s="134"/>
      <c r="G927" s="135"/>
      <c r="H927" s="74" t="s">
        <v>1535</v>
      </c>
      <c r="I927" s="75">
        <v>61.9</v>
      </c>
      <c r="J927" s="75">
        <v>0</v>
      </c>
      <c r="K927" s="75">
        <f>I927*AO927</f>
        <v>0</v>
      </c>
      <c r="L927" s="75">
        <f>I927*AP927</f>
        <v>0</v>
      </c>
      <c r="M927" s="75">
        <f>I927*J927</f>
        <v>0</v>
      </c>
      <c r="N927" s="78" t="s">
        <v>1556</v>
      </c>
      <c r="O927" s="67"/>
      <c r="Z927" s="28">
        <f>IF(AQ927="5",BJ927,0)</f>
        <v>0</v>
      </c>
      <c r="AB927" s="28">
        <f>IF(AQ927="1",BH927,0)</f>
        <v>0</v>
      </c>
      <c r="AC927" s="28">
        <f>IF(AQ927="1",BI927,0)</f>
        <v>0</v>
      </c>
      <c r="AD927" s="28">
        <f>IF(AQ927="7",BH927,0)</f>
        <v>0</v>
      </c>
      <c r="AE927" s="28">
        <f>IF(AQ927="7",BI927,0)</f>
        <v>0</v>
      </c>
      <c r="AF927" s="28">
        <f>IF(AQ927="2",BH927,0)</f>
        <v>0</v>
      </c>
      <c r="AG927" s="28">
        <f>IF(AQ927="2",BI927,0)</f>
        <v>0</v>
      </c>
      <c r="AH927" s="28">
        <f>IF(AQ927="0",BJ927,0)</f>
        <v>0</v>
      </c>
      <c r="AI927" s="27" t="s">
        <v>283</v>
      </c>
      <c r="AJ927" s="18">
        <f>IF(AN927=0,M927,0)</f>
        <v>0</v>
      </c>
      <c r="AK927" s="18">
        <f>IF(AN927=15,M927,0)</f>
        <v>0</v>
      </c>
      <c r="AL927" s="18">
        <f>IF(AN927=21,M927,0)</f>
        <v>0</v>
      </c>
      <c r="AN927" s="28">
        <v>15</v>
      </c>
      <c r="AO927" s="28">
        <f>J927*0.328119658119658</f>
        <v>0</v>
      </c>
      <c r="AP927" s="28">
        <f>J927*(1-0.328119658119658)</f>
        <v>0</v>
      </c>
      <c r="AQ927" s="29" t="s">
        <v>7</v>
      </c>
      <c r="AV927" s="28">
        <f>AW927+AX927</f>
        <v>0</v>
      </c>
      <c r="AW927" s="28">
        <f>I927*AO927</f>
        <v>0</v>
      </c>
      <c r="AX927" s="28">
        <f>I927*AP927</f>
        <v>0</v>
      </c>
      <c r="AY927" s="31" t="s">
        <v>1602</v>
      </c>
      <c r="AZ927" s="31" t="s">
        <v>1613</v>
      </c>
      <c r="BA927" s="27" t="s">
        <v>1628</v>
      </c>
      <c r="BC927" s="28">
        <f>AW927+AX927</f>
        <v>0</v>
      </c>
      <c r="BD927" s="28">
        <f>J927/(100-BE927)*100</f>
        <v>0</v>
      </c>
      <c r="BE927" s="28">
        <v>0</v>
      </c>
      <c r="BF927" s="28">
        <f>927</f>
        <v>927</v>
      </c>
      <c r="BH927" s="18">
        <f>I927*AO927</f>
        <v>0</v>
      </c>
      <c r="BI927" s="18">
        <f>I927*AP927</f>
        <v>0</v>
      </c>
      <c r="BJ927" s="18">
        <f>I927*J927</f>
        <v>0</v>
      </c>
      <c r="BK927" s="18" t="s">
        <v>1634</v>
      </c>
      <c r="BL927" s="28">
        <v>94</v>
      </c>
    </row>
    <row r="928" spans="1:15" ht="12.75">
      <c r="A928" s="3"/>
      <c r="D928" s="136" t="s">
        <v>1181</v>
      </c>
      <c r="E928" s="137"/>
      <c r="F928" s="137"/>
      <c r="G928" s="137"/>
      <c r="H928" s="137"/>
      <c r="I928" s="137"/>
      <c r="J928" s="137"/>
      <c r="K928" s="137"/>
      <c r="L928" s="137"/>
      <c r="M928" s="137"/>
      <c r="N928" s="138"/>
      <c r="O928" s="3"/>
    </row>
    <row r="929" spans="1:15" ht="12.75">
      <c r="A929" s="89"/>
      <c r="B929" s="90"/>
      <c r="C929" s="90"/>
      <c r="D929" s="84" t="s">
        <v>1182</v>
      </c>
      <c r="G929" s="91" t="s">
        <v>1505</v>
      </c>
      <c r="H929" s="90"/>
      <c r="I929" s="92">
        <v>26.4</v>
      </c>
      <c r="J929" s="90"/>
      <c r="K929" s="90"/>
      <c r="L929" s="90"/>
      <c r="M929" s="90"/>
      <c r="N929" s="79"/>
      <c r="O929" s="67"/>
    </row>
    <row r="930" spans="1:15" ht="12.75">
      <c r="A930" s="89"/>
      <c r="B930" s="90"/>
      <c r="C930" s="90"/>
      <c r="D930" s="84" t="s">
        <v>1183</v>
      </c>
      <c r="G930" s="91" t="s">
        <v>1506</v>
      </c>
      <c r="H930" s="90"/>
      <c r="I930" s="92">
        <v>18.4</v>
      </c>
      <c r="J930" s="90"/>
      <c r="K930" s="90"/>
      <c r="L930" s="90"/>
      <c r="M930" s="90"/>
      <c r="N930" s="79"/>
      <c r="O930" s="67"/>
    </row>
    <row r="931" spans="1:15" ht="12.75">
      <c r="A931" s="89"/>
      <c r="B931" s="90"/>
      <c r="C931" s="90"/>
      <c r="D931" s="84" t="s">
        <v>1184</v>
      </c>
      <c r="G931" s="91"/>
      <c r="H931" s="90"/>
      <c r="I931" s="92">
        <v>17.1</v>
      </c>
      <c r="J931" s="90"/>
      <c r="K931" s="90"/>
      <c r="L931" s="90"/>
      <c r="M931" s="90"/>
      <c r="N931" s="79"/>
      <c r="O931" s="67"/>
    </row>
    <row r="932" spans="1:64" ht="12.75">
      <c r="A932" s="81" t="s">
        <v>213</v>
      </c>
      <c r="B932" s="81" t="s">
        <v>283</v>
      </c>
      <c r="C932" s="81" t="s">
        <v>510</v>
      </c>
      <c r="D932" s="139" t="s">
        <v>1185</v>
      </c>
      <c r="E932" s="134"/>
      <c r="F932" s="134"/>
      <c r="G932" s="140"/>
      <c r="H932" s="81" t="s">
        <v>1535</v>
      </c>
      <c r="I932" s="87">
        <v>887.954</v>
      </c>
      <c r="J932" s="87">
        <v>0</v>
      </c>
      <c r="K932" s="87">
        <f>I932*AO932</f>
        <v>0</v>
      </c>
      <c r="L932" s="87">
        <f>I932*AP932</f>
        <v>0</v>
      </c>
      <c r="M932" s="87">
        <f>I932*J932</f>
        <v>0</v>
      </c>
      <c r="N932" s="77" t="s">
        <v>1556</v>
      </c>
      <c r="O932" s="67"/>
      <c r="Z932" s="28">
        <f>IF(AQ932="5",BJ932,0)</f>
        <v>0</v>
      </c>
      <c r="AB932" s="28">
        <f>IF(AQ932="1",BH932,0)</f>
        <v>0</v>
      </c>
      <c r="AC932" s="28">
        <f>IF(AQ932="1",BI932,0)</f>
        <v>0</v>
      </c>
      <c r="AD932" s="28">
        <f>IF(AQ932="7",BH932,0)</f>
        <v>0</v>
      </c>
      <c r="AE932" s="28">
        <f>IF(AQ932="7",BI932,0)</f>
        <v>0</v>
      </c>
      <c r="AF932" s="28">
        <f>IF(AQ932="2",BH932,0)</f>
        <v>0</v>
      </c>
      <c r="AG932" s="28">
        <f>IF(AQ932="2",BI932,0)</f>
        <v>0</v>
      </c>
      <c r="AH932" s="28">
        <f>IF(AQ932="0",BJ932,0)</f>
        <v>0</v>
      </c>
      <c r="AI932" s="27" t="s">
        <v>283</v>
      </c>
      <c r="AJ932" s="18">
        <f>IF(AN932=0,M932,0)</f>
        <v>0</v>
      </c>
      <c r="AK932" s="18">
        <f>IF(AN932=15,M932,0)</f>
        <v>0</v>
      </c>
      <c r="AL932" s="18">
        <f>IF(AN932=21,M932,0)</f>
        <v>0</v>
      </c>
      <c r="AN932" s="28">
        <v>15</v>
      </c>
      <c r="AO932" s="28">
        <f>J932*0.000403768519520582</f>
        <v>0</v>
      </c>
      <c r="AP932" s="28">
        <f>J932*(1-0.000403768519520582)</f>
        <v>0</v>
      </c>
      <c r="AQ932" s="29" t="s">
        <v>7</v>
      </c>
      <c r="AV932" s="28">
        <f>AW932+AX932</f>
        <v>0</v>
      </c>
      <c r="AW932" s="28">
        <f>I932*AO932</f>
        <v>0</v>
      </c>
      <c r="AX932" s="28">
        <f>I932*AP932</f>
        <v>0</v>
      </c>
      <c r="AY932" s="31" t="s">
        <v>1602</v>
      </c>
      <c r="AZ932" s="31" t="s">
        <v>1613</v>
      </c>
      <c r="BA932" s="27" t="s">
        <v>1628</v>
      </c>
      <c r="BC932" s="28">
        <f>AW932+AX932</f>
        <v>0</v>
      </c>
      <c r="BD932" s="28">
        <f>J932/(100-BE932)*100</f>
        <v>0</v>
      </c>
      <c r="BE932" s="28">
        <v>0</v>
      </c>
      <c r="BF932" s="28">
        <f>932</f>
        <v>932</v>
      </c>
      <c r="BH932" s="18">
        <f>I932*AO932</f>
        <v>0</v>
      </c>
      <c r="BI932" s="18">
        <f>I932*AP932</f>
        <v>0</v>
      </c>
      <c r="BJ932" s="18">
        <f>I932*J932</f>
        <v>0</v>
      </c>
      <c r="BK932" s="18" t="s">
        <v>1634</v>
      </c>
      <c r="BL932" s="28">
        <v>94</v>
      </c>
    </row>
    <row r="933" spans="1:15" ht="12.75">
      <c r="A933" s="89"/>
      <c r="B933" s="90"/>
      <c r="C933" s="90"/>
      <c r="D933" s="84" t="s">
        <v>1186</v>
      </c>
      <c r="G933" s="91" t="s">
        <v>1468</v>
      </c>
      <c r="H933" s="90"/>
      <c r="I933" s="92">
        <v>522.77</v>
      </c>
      <c r="J933" s="90"/>
      <c r="K933" s="90"/>
      <c r="L933" s="90"/>
      <c r="M933" s="90"/>
      <c r="N933" s="79"/>
      <c r="O933" s="67"/>
    </row>
    <row r="934" spans="1:15" ht="12.75">
      <c r="A934" s="89"/>
      <c r="B934" s="90"/>
      <c r="C934" s="90"/>
      <c r="D934" s="84" t="s">
        <v>1187</v>
      </c>
      <c r="G934" s="91" t="s">
        <v>1469</v>
      </c>
      <c r="H934" s="90"/>
      <c r="I934" s="92">
        <v>226.784</v>
      </c>
      <c r="J934" s="90"/>
      <c r="K934" s="90"/>
      <c r="L934" s="90"/>
      <c r="M934" s="90"/>
      <c r="N934" s="79"/>
      <c r="O934" s="67"/>
    </row>
    <row r="935" spans="1:15" ht="12.75">
      <c r="A935" s="89"/>
      <c r="B935" s="90"/>
      <c r="C935" s="90"/>
      <c r="D935" s="84" t="s">
        <v>1188</v>
      </c>
      <c r="G935" s="91" t="s">
        <v>1507</v>
      </c>
      <c r="H935" s="90"/>
      <c r="I935" s="92">
        <v>138.4</v>
      </c>
      <c r="J935" s="90"/>
      <c r="K935" s="90"/>
      <c r="L935" s="90"/>
      <c r="M935" s="90"/>
      <c r="N935" s="79"/>
      <c r="O935" s="67"/>
    </row>
    <row r="936" spans="1:64" ht="12.75">
      <c r="A936" s="81" t="s">
        <v>214</v>
      </c>
      <c r="B936" s="81" t="s">
        <v>283</v>
      </c>
      <c r="C936" s="81" t="s">
        <v>511</v>
      </c>
      <c r="D936" s="139" t="s">
        <v>1189</v>
      </c>
      <c r="E936" s="134"/>
      <c r="F936" s="134"/>
      <c r="G936" s="140"/>
      <c r="H936" s="81" t="s">
        <v>1535</v>
      </c>
      <c r="I936" s="87">
        <v>2663.862</v>
      </c>
      <c r="J936" s="87">
        <v>0</v>
      </c>
      <c r="K936" s="87">
        <f>I936*AO936</f>
        <v>0</v>
      </c>
      <c r="L936" s="87">
        <f>I936*AP936</f>
        <v>0</v>
      </c>
      <c r="M936" s="87">
        <f>I936*J936</f>
        <v>0</v>
      </c>
      <c r="N936" s="77" t="s">
        <v>1556</v>
      </c>
      <c r="O936" s="67"/>
      <c r="Z936" s="28">
        <f>IF(AQ936="5",BJ936,0)</f>
        <v>0</v>
      </c>
      <c r="AB936" s="28">
        <f>IF(AQ936="1",BH936,0)</f>
        <v>0</v>
      </c>
      <c r="AC936" s="28">
        <f>IF(AQ936="1",BI936,0)</f>
        <v>0</v>
      </c>
      <c r="AD936" s="28">
        <f>IF(AQ936="7",BH936,0)</f>
        <v>0</v>
      </c>
      <c r="AE936" s="28">
        <f>IF(AQ936="7",BI936,0)</f>
        <v>0</v>
      </c>
      <c r="AF936" s="28">
        <f>IF(AQ936="2",BH936,0)</f>
        <v>0</v>
      </c>
      <c r="AG936" s="28">
        <f>IF(AQ936="2",BI936,0)</f>
        <v>0</v>
      </c>
      <c r="AH936" s="28">
        <f>IF(AQ936="0",BJ936,0)</f>
        <v>0</v>
      </c>
      <c r="AI936" s="27" t="s">
        <v>283</v>
      </c>
      <c r="AJ936" s="18">
        <f>IF(AN936=0,M936,0)</f>
        <v>0</v>
      </c>
      <c r="AK936" s="18">
        <f>IF(AN936=15,M936,0)</f>
        <v>0</v>
      </c>
      <c r="AL936" s="18">
        <f>IF(AN936=21,M936,0)</f>
        <v>0</v>
      </c>
      <c r="AN936" s="28">
        <v>15</v>
      </c>
      <c r="AO936" s="28">
        <f>J936*0.921387235253087</f>
        <v>0</v>
      </c>
      <c r="AP936" s="28">
        <f>J936*(1-0.921387235253087)</f>
        <v>0</v>
      </c>
      <c r="AQ936" s="29" t="s">
        <v>7</v>
      </c>
      <c r="AV936" s="28">
        <f>AW936+AX936</f>
        <v>0</v>
      </c>
      <c r="AW936" s="28">
        <f>I936*AO936</f>
        <v>0</v>
      </c>
      <c r="AX936" s="28">
        <f>I936*AP936</f>
        <v>0</v>
      </c>
      <c r="AY936" s="31" t="s">
        <v>1602</v>
      </c>
      <c r="AZ936" s="31" t="s">
        <v>1613</v>
      </c>
      <c r="BA936" s="27" t="s">
        <v>1628</v>
      </c>
      <c r="BC936" s="28">
        <f>AW936+AX936</f>
        <v>0</v>
      </c>
      <c r="BD936" s="28">
        <f>J936/(100-BE936)*100</f>
        <v>0</v>
      </c>
      <c r="BE936" s="28">
        <v>0</v>
      </c>
      <c r="BF936" s="28">
        <f>936</f>
        <v>936</v>
      </c>
      <c r="BH936" s="18">
        <f>I936*AO936</f>
        <v>0</v>
      </c>
      <c r="BI936" s="18">
        <f>I936*AP936</f>
        <v>0</v>
      </c>
      <c r="BJ936" s="18">
        <f>I936*J936</f>
        <v>0</v>
      </c>
      <c r="BK936" s="18" t="s">
        <v>1634</v>
      </c>
      <c r="BL936" s="28">
        <v>94</v>
      </c>
    </row>
    <row r="937" spans="1:15" ht="12.75">
      <c r="A937" s="89"/>
      <c r="B937" s="90"/>
      <c r="C937" s="90"/>
      <c r="D937" s="84" t="s">
        <v>1190</v>
      </c>
      <c r="G937" s="91" t="s">
        <v>1508</v>
      </c>
      <c r="H937" s="90"/>
      <c r="I937" s="92">
        <v>2663.862</v>
      </c>
      <c r="J937" s="90"/>
      <c r="K937" s="90"/>
      <c r="L937" s="90"/>
      <c r="M937" s="90"/>
      <c r="N937" s="79"/>
      <c r="O937" s="67"/>
    </row>
    <row r="938" spans="1:64" ht="12.75">
      <c r="A938" s="81" t="s">
        <v>215</v>
      </c>
      <c r="B938" s="81" t="s">
        <v>283</v>
      </c>
      <c r="C938" s="81" t="s">
        <v>512</v>
      </c>
      <c r="D938" s="139" t="s">
        <v>1191</v>
      </c>
      <c r="E938" s="134"/>
      <c r="F938" s="134"/>
      <c r="G938" s="140"/>
      <c r="H938" s="81" t="s">
        <v>1535</v>
      </c>
      <c r="I938" s="87">
        <v>887.954</v>
      </c>
      <c r="J938" s="87">
        <v>0</v>
      </c>
      <c r="K938" s="87">
        <f>I938*AO938</f>
        <v>0</v>
      </c>
      <c r="L938" s="87">
        <f>I938*AP938</f>
        <v>0</v>
      </c>
      <c r="M938" s="87">
        <f>I938*J938</f>
        <v>0</v>
      </c>
      <c r="N938" s="77" t="s">
        <v>1556</v>
      </c>
      <c r="O938" s="67"/>
      <c r="Z938" s="28">
        <f>IF(AQ938="5",BJ938,0)</f>
        <v>0</v>
      </c>
      <c r="AB938" s="28">
        <f>IF(AQ938="1",BH938,0)</f>
        <v>0</v>
      </c>
      <c r="AC938" s="28">
        <f>IF(AQ938="1",BI938,0)</f>
        <v>0</v>
      </c>
      <c r="AD938" s="28">
        <f>IF(AQ938="7",BH938,0)</f>
        <v>0</v>
      </c>
      <c r="AE938" s="28">
        <f>IF(AQ938="7",BI938,0)</f>
        <v>0</v>
      </c>
      <c r="AF938" s="28">
        <f>IF(AQ938="2",BH938,0)</f>
        <v>0</v>
      </c>
      <c r="AG938" s="28">
        <f>IF(AQ938="2",BI938,0)</f>
        <v>0</v>
      </c>
      <c r="AH938" s="28">
        <f>IF(AQ938="0",BJ938,0)</f>
        <v>0</v>
      </c>
      <c r="AI938" s="27" t="s">
        <v>283</v>
      </c>
      <c r="AJ938" s="18">
        <f>IF(AN938=0,M938,0)</f>
        <v>0</v>
      </c>
      <c r="AK938" s="18">
        <f>IF(AN938=15,M938,0)</f>
        <v>0</v>
      </c>
      <c r="AL938" s="18">
        <f>IF(AN938=21,M938,0)</f>
        <v>0</v>
      </c>
      <c r="AN938" s="28">
        <v>15</v>
      </c>
      <c r="AO938" s="28">
        <f>J938*0</f>
        <v>0</v>
      </c>
      <c r="AP938" s="28">
        <f>J938*(1-0)</f>
        <v>0</v>
      </c>
      <c r="AQ938" s="29" t="s">
        <v>7</v>
      </c>
      <c r="AV938" s="28">
        <f>AW938+AX938</f>
        <v>0</v>
      </c>
      <c r="AW938" s="28">
        <f>I938*AO938</f>
        <v>0</v>
      </c>
      <c r="AX938" s="28">
        <f>I938*AP938</f>
        <v>0</v>
      </c>
      <c r="AY938" s="31" t="s">
        <v>1602</v>
      </c>
      <c r="AZ938" s="31" t="s">
        <v>1613</v>
      </c>
      <c r="BA938" s="27" t="s">
        <v>1628</v>
      </c>
      <c r="BC938" s="28">
        <f>AW938+AX938</f>
        <v>0</v>
      </c>
      <c r="BD938" s="28">
        <f>J938/(100-BE938)*100</f>
        <v>0</v>
      </c>
      <c r="BE938" s="28">
        <v>0</v>
      </c>
      <c r="BF938" s="28">
        <f>938</f>
        <v>938</v>
      </c>
      <c r="BH938" s="18">
        <f>I938*AO938</f>
        <v>0</v>
      </c>
      <c r="BI938" s="18">
        <f>I938*AP938</f>
        <v>0</v>
      </c>
      <c r="BJ938" s="18">
        <f>I938*J938</f>
        <v>0</v>
      </c>
      <c r="BK938" s="18" t="s">
        <v>1634</v>
      </c>
      <c r="BL938" s="28">
        <v>94</v>
      </c>
    </row>
    <row r="939" spans="1:15" ht="12.75">
      <c r="A939" s="89"/>
      <c r="B939" s="90"/>
      <c r="C939" s="90"/>
      <c r="D939" s="84" t="s">
        <v>1192</v>
      </c>
      <c r="G939" s="91"/>
      <c r="H939" s="90"/>
      <c r="I939" s="92">
        <v>887.954</v>
      </c>
      <c r="J939" s="90"/>
      <c r="K939" s="90"/>
      <c r="L939" s="90"/>
      <c r="M939" s="90"/>
      <c r="N939" s="79"/>
      <c r="O939" s="67"/>
    </row>
    <row r="940" spans="1:64" ht="12.75">
      <c r="A940" s="81" t="s">
        <v>216</v>
      </c>
      <c r="B940" s="81" t="s">
        <v>283</v>
      </c>
      <c r="C940" s="81" t="s">
        <v>513</v>
      </c>
      <c r="D940" s="139" t="s">
        <v>1193</v>
      </c>
      <c r="E940" s="134"/>
      <c r="F940" s="134"/>
      <c r="G940" s="140"/>
      <c r="H940" s="81" t="s">
        <v>1535</v>
      </c>
      <c r="I940" s="87">
        <v>749.554</v>
      </c>
      <c r="J940" s="87">
        <v>0</v>
      </c>
      <c r="K940" s="87">
        <f>I940*AO940</f>
        <v>0</v>
      </c>
      <c r="L940" s="87">
        <f>I940*AP940</f>
        <v>0</v>
      </c>
      <c r="M940" s="87">
        <f>I940*J940</f>
        <v>0</v>
      </c>
      <c r="N940" s="77" t="s">
        <v>1556</v>
      </c>
      <c r="O940" s="67"/>
      <c r="Z940" s="28">
        <f>IF(AQ940="5",BJ940,0)</f>
        <v>0</v>
      </c>
      <c r="AB940" s="28">
        <f>IF(AQ940="1",BH940,0)</f>
        <v>0</v>
      </c>
      <c r="AC940" s="28">
        <f>IF(AQ940="1",BI940,0)</f>
        <v>0</v>
      </c>
      <c r="AD940" s="28">
        <f>IF(AQ940="7",BH940,0)</f>
        <v>0</v>
      </c>
      <c r="AE940" s="28">
        <f>IF(AQ940="7",BI940,0)</f>
        <v>0</v>
      </c>
      <c r="AF940" s="28">
        <f>IF(AQ940="2",BH940,0)</f>
        <v>0</v>
      </c>
      <c r="AG940" s="28">
        <f>IF(AQ940="2",BI940,0)</f>
        <v>0</v>
      </c>
      <c r="AH940" s="28">
        <f>IF(AQ940="0",BJ940,0)</f>
        <v>0</v>
      </c>
      <c r="AI940" s="27" t="s">
        <v>283</v>
      </c>
      <c r="AJ940" s="18">
        <f>IF(AN940=0,M940,0)</f>
        <v>0</v>
      </c>
      <c r="AK940" s="18">
        <f>IF(AN940=15,M940,0)</f>
        <v>0</v>
      </c>
      <c r="AL940" s="18">
        <f>IF(AN940=21,M940,0)</f>
        <v>0</v>
      </c>
      <c r="AN940" s="28">
        <v>15</v>
      </c>
      <c r="AO940" s="28">
        <f>J940*0</f>
        <v>0</v>
      </c>
      <c r="AP940" s="28">
        <f>J940*(1-0)</f>
        <v>0</v>
      </c>
      <c r="AQ940" s="29" t="s">
        <v>7</v>
      </c>
      <c r="AV940" s="28">
        <f>AW940+AX940</f>
        <v>0</v>
      </c>
      <c r="AW940" s="28">
        <f>I940*AO940</f>
        <v>0</v>
      </c>
      <c r="AX940" s="28">
        <f>I940*AP940</f>
        <v>0</v>
      </c>
      <c r="AY940" s="31" t="s">
        <v>1602</v>
      </c>
      <c r="AZ940" s="31" t="s">
        <v>1613</v>
      </c>
      <c r="BA940" s="27" t="s">
        <v>1628</v>
      </c>
      <c r="BC940" s="28">
        <f>AW940+AX940</f>
        <v>0</v>
      </c>
      <c r="BD940" s="28">
        <f>J940/(100-BE940)*100</f>
        <v>0</v>
      </c>
      <c r="BE940" s="28">
        <v>0</v>
      </c>
      <c r="BF940" s="28">
        <f>940</f>
        <v>940</v>
      </c>
      <c r="BH940" s="18">
        <f>I940*AO940</f>
        <v>0</v>
      </c>
      <c r="BI940" s="18">
        <f>I940*AP940</f>
        <v>0</v>
      </c>
      <c r="BJ940" s="18">
        <f>I940*J940</f>
        <v>0</v>
      </c>
      <c r="BK940" s="18" t="s">
        <v>1634</v>
      </c>
      <c r="BL940" s="28">
        <v>94</v>
      </c>
    </row>
    <row r="941" spans="1:15" ht="12.75">
      <c r="A941" s="89"/>
      <c r="B941" s="90"/>
      <c r="C941" s="90"/>
      <c r="D941" s="84" t="s">
        <v>1194</v>
      </c>
      <c r="G941" s="91"/>
      <c r="H941" s="90"/>
      <c r="I941" s="92">
        <v>749.554</v>
      </c>
      <c r="J941" s="90"/>
      <c r="K941" s="90"/>
      <c r="L941" s="90"/>
      <c r="M941" s="90"/>
      <c r="N941" s="79"/>
      <c r="O941" s="67"/>
    </row>
    <row r="942" spans="1:64" ht="12.75">
      <c r="A942" s="81" t="s">
        <v>217</v>
      </c>
      <c r="B942" s="81" t="s">
        <v>283</v>
      </c>
      <c r="C942" s="81" t="s">
        <v>514</v>
      </c>
      <c r="D942" s="139" t="s">
        <v>1195</v>
      </c>
      <c r="E942" s="134"/>
      <c r="F942" s="134"/>
      <c r="G942" s="140"/>
      <c r="H942" s="81" t="s">
        <v>1535</v>
      </c>
      <c r="I942" s="87">
        <v>749.554</v>
      </c>
      <c r="J942" s="87">
        <v>0</v>
      </c>
      <c r="K942" s="87">
        <f>I942*AO942</f>
        <v>0</v>
      </c>
      <c r="L942" s="87">
        <f>I942*AP942</f>
        <v>0</v>
      </c>
      <c r="M942" s="87">
        <f>I942*J942</f>
        <v>0</v>
      </c>
      <c r="N942" s="77" t="s">
        <v>1556</v>
      </c>
      <c r="O942" s="67"/>
      <c r="Z942" s="28">
        <f>IF(AQ942="5",BJ942,0)</f>
        <v>0</v>
      </c>
      <c r="AB942" s="28">
        <f>IF(AQ942="1",BH942,0)</f>
        <v>0</v>
      </c>
      <c r="AC942" s="28">
        <f>IF(AQ942="1",BI942,0)</f>
        <v>0</v>
      </c>
      <c r="AD942" s="28">
        <f>IF(AQ942="7",BH942,0)</f>
        <v>0</v>
      </c>
      <c r="AE942" s="28">
        <f>IF(AQ942="7",BI942,0)</f>
        <v>0</v>
      </c>
      <c r="AF942" s="28">
        <f>IF(AQ942="2",BH942,0)</f>
        <v>0</v>
      </c>
      <c r="AG942" s="28">
        <f>IF(AQ942="2",BI942,0)</f>
        <v>0</v>
      </c>
      <c r="AH942" s="28">
        <f>IF(AQ942="0",BJ942,0)</f>
        <v>0</v>
      </c>
      <c r="AI942" s="27" t="s">
        <v>283</v>
      </c>
      <c r="AJ942" s="18">
        <f>IF(AN942=0,M942,0)</f>
        <v>0</v>
      </c>
      <c r="AK942" s="18">
        <f>IF(AN942=15,M942,0)</f>
        <v>0</v>
      </c>
      <c r="AL942" s="18">
        <f>IF(AN942=21,M942,0)</f>
        <v>0</v>
      </c>
      <c r="AN942" s="28">
        <v>15</v>
      </c>
      <c r="AO942" s="28">
        <f>J942*0</f>
        <v>0</v>
      </c>
      <c r="AP942" s="28">
        <f>J942*(1-0)</f>
        <v>0</v>
      </c>
      <c r="AQ942" s="29" t="s">
        <v>7</v>
      </c>
      <c r="AV942" s="28">
        <f>AW942+AX942</f>
        <v>0</v>
      </c>
      <c r="AW942" s="28">
        <f>I942*AO942</f>
        <v>0</v>
      </c>
      <c r="AX942" s="28">
        <f>I942*AP942</f>
        <v>0</v>
      </c>
      <c r="AY942" s="31" t="s">
        <v>1602</v>
      </c>
      <c r="AZ942" s="31" t="s">
        <v>1613</v>
      </c>
      <c r="BA942" s="27" t="s">
        <v>1628</v>
      </c>
      <c r="BC942" s="28">
        <f>AW942+AX942</f>
        <v>0</v>
      </c>
      <c r="BD942" s="28">
        <f>J942/(100-BE942)*100</f>
        <v>0</v>
      </c>
      <c r="BE942" s="28">
        <v>0</v>
      </c>
      <c r="BF942" s="28">
        <f>942</f>
        <v>942</v>
      </c>
      <c r="BH942" s="18">
        <f>I942*AO942</f>
        <v>0</v>
      </c>
      <c r="BI942" s="18">
        <f>I942*AP942</f>
        <v>0</v>
      </c>
      <c r="BJ942" s="18">
        <f>I942*J942</f>
        <v>0</v>
      </c>
      <c r="BK942" s="18" t="s">
        <v>1634</v>
      </c>
      <c r="BL942" s="28">
        <v>94</v>
      </c>
    </row>
    <row r="943" spans="1:15" ht="12.75">
      <c r="A943" s="89"/>
      <c r="B943" s="90"/>
      <c r="C943" s="90"/>
      <c r="D943" s="84" t="s">
        <v>1194</v>
      </c>
      <c r="G943" s="91"/>
      <c r="H943" s="90"/>
      <c r="I943" s="92">
        <v>749.554</v>
      </c>
      <c r="J943" s="90"/>
      <c r="K943" s="90"/>
      <c r="L943" s="90"/>
      <c r="M943" s="90"/>
      <c r="N943" s="79"/>
      <c r="O943" s="67"/>
    </row>
    <row r="944" spans="1:64" ht="12.75">
      <c r="A944" s="81" t="s">
        <v>218</v>
      </c>
      <c r="B944" s="81" t="s">
        <v>283</v>
      </c>
      <c r="C944" s="81" t="s">
        <v>515</v>
      </c>
      <c r="D944" s="139" t="s">
        <v>1196</v>
      </c>
      <c r="E944" s="134"/>
      <c r="F944" s="134"/>
      <c r="G944" s="140"/>
      <c r="H944" s="81" t="s">
        <v>1535</v>
      </c>
      <c r="I944" s="87">
        <v>2248.662</v>
      </c>
      <c r="J944" s="87">
        <v>0</v>
      </c>
      <c r="K944" s="87">
        <f>I944*AO944</f>
        <v>0</v>
      </c>
      <c r="L944" s="87">
        <f>I944*AP944</f>
        <v>0</v>
      </c>
      <c r="M944" s="87">
        <f>I944*J944</f>
        <v>0</v>
      </c>
      <c r="N944" s="77" t="s">
        <v>1556</v>
      </c>
      <c r="O944" s="67"/>
      <c r="Z944" s="28">
        <f>IF(AQ944="5",BJ944,0)</f>
        <v>0</v>
      </c>
      <c r="AB944" s="28">
        <f>IF(AQ944="1",BH944,0)</f>
        <v>0</v>
      </c>
      <c r="AC944" s="28">
        <f>IF(AQ944="1",BI944,0)</f>
        <v>0</v>
      </c>
      <c r="AD944" s="28">
        <f>IF(AQ944="7",BH944,0)</f>
        <v>0</v>
      </c>
      <c r="AE944" s="28">
        <f>IF(AQ944="7",BI944,0)</f>
        <v>0</v>
      </c>
      <c r="AF944" s="28">
        <f>IF(AQ944="2",BH944,0)</f>
        <v>0</v>
      </c>
      <c r="AG944" s="28">
        <f>IF(AQ944="2",BI944,0)</f>
        <v>0</v>
      </c>
      <c r="AH944" s="28">
        <f>IF(AQ944="0",BJ944,0)</f>
        <v>0</v>
      </c>
      <c r="AI944" s="27" t="s">
        <v>283</v>
      </c>
      <c r="AJ944" s="18">
        <f>IF(AN944=0,M944,0)</f>
        <v>0</v>
      </c>
      <c r="AK944" s="18">
        <f>IF(AN944=15,M944,0)</f>
        <v>0</v>
      </c>
      <c r="AL944" s="18">
        <f>IF(AN944=21,M944,0)</f>
        <v>0</v>
      </c>
      <c r="AN944" s="28">
        <v>15</v>
      </c>
      <c r="AO944" s="28">
        <f>J944*1.00000004235323</f>
        <v>0</v>
      </c>
      <c r="AP944" s="28">
        <f>J944*(1-1.00000004235323)</f>
        <v>0</v>
      </c>
      <c r="AQ944" s="29" t="s">
        <v>7</v>
      </c>
      <c r="AV944" s="28">
        <f>AW944+AX944</f>
        <v>0</v>
      </c>
      <c r="AW944" s="28">
        <f>I944*AO944</f>
        <v>0</v>
      </c>
      <c r="AX944" s="28">
        <f>I944*AP944</f>
        <v>0</v>
      </c>
      <c r="AY944" s="31" t="s">
        <v>1602</v>
      </c>
      <c r="AZ944" s="31" t="s">
        <v>1613</v>
      </c>
      <c r="BA944" s="27" t="s">
        <v>1628</v>
      </c>
      <c r="BC944" s="28">
        <f>AW944+AX944</f>
        <v>0</v>
      </c>
      <c r="BD944" s="28">
        <f>J944/(100-BE944)*100</f>
        <v>0</v>
      </c>
      <c r="BE944" s="28">
        <v>0</v>
      </c>
      <c r="BF944" s="28">
        <f>944</f>
        <v>944</v>
      </c>
      <c r="BH944" s="18">
        <f>I944*AO944</f>
        <v>0</v>
      </c>
      <c r="BI944" s="18">
        <f>I944*AP944</f>
        <v>0</v>
      </c>
      <c r="BJ944" s="18">
        <f>I944*J944</f>
        <v>0</v>
      </c>
      <c r="BK944" s="18" t="s">
        <v>1634</v>
      </c>
      <c r="BL944" s="28">
        <v>94</v>
      </c>
    </row>
    <row r="945" spans="1:15" ht="12.75">
      <c r="A945" s="82"/>
      <c r="B945" s="83"/>
      <c r="C945" s="83"/>
      <c r="D945" s="85" t="s">
        <v>1197</v>
      </c>
      <c r="G945" s="86" t="s">
        <v>1509</v>
      </c>
      <c r="H945" s="83"/>
      <c r="I945" s="88">
        <v>2248.662</v>
      </c>
      <c r="J945" s="83"/>
      <c r="K945" s="83"/>
      <c r="L945" s="83"/>
      <c r="M945" s="83"/>
      <c r="N945" s="80"/>
      <c r="O945" s="67"/>
    </row>
    <row r="946" spans="1:64" ht="12.75">
      <c r="A946" s="2" t="s">
        <v>219</v>
      </c>
      <c r="B946" s="9" t="s">
        <v>283</v>
      </c>
      <c r="C946" s="9" t="s">
        <v>516</v>
      </c>
      <c r="D946" s="141" t="s">
        <v>1198</v>
      </c>
      <c r="E946" s="134"/>
      <c r="F946" s="134"/>
      <c r="G946" s="134"/>
      <c r="H946" s="9" t="s">
        <v>1535</v>
      </c>
      <c r="I946" s="18">
        <v>41.64</v>
      </c>
      <c r="J946" s="18">
        <v>0</v>
      </c>
      <c r="K946" s="18">
        <f>I946*AO946</f>
        <v>0</v>
      </c>
      <c r="L946" s="18">
        <f>I946*AP946</f>
        <v>0</v>
      </c>
      <c r="M946" s="18">
        <f>I946*J946</f>
        <v>0</v>
      </c>
      <c r="N946" s="23" t="s">
        <v>1557</v>
      </c>
      <c r="O946" s="3"/>
      <c r="Z946" s="28">
        <f>IF(AQ946="5",BJ946,0)</f>
        <v>0</v>
      </c>
      <c r="AB946" s="28">
        <f>IF(AQ946="1",BH946,0)</f>
        <v>0</v>
      </c>
      <c r="AC946" s="28">
        <f>IF(AQ946="1",BI946,0)</f>
        <v>0</v>
      </c>
      <c r="AD946" s="28">
        <f>IF(AQ946="7",BH946,0)</f>
        <v>0</v>
      </c>
      <c r="AE946" s="28">
        <f>IF(AQ946="7",BI946,0)</f>
        <v>0</v>
      </c>
      <c r="AF946" s="28">
        <f>IF(AQ946="2",BH946,0)</f>
        <v>0</v>
      </c>
      <c r="AG946" s="28">
        <f>IF(AQ946="2",BI946,0)</f>
        <v>0</v>
      </c>
      <c r="AH946" s="28">
        <f>IF(AQ946="0",BJ946,0)</f>
        <v>0</v>
      </c>
      <c r="AI946" s="27" t="s">
        <v>283</v>
      </c>
      <c r="AJ946" s="18">
        <f>IF(AN946=0,M946,0)</f>
        <v>0</v>
      </c>
      <c r="AK946" s="18">
        <f>IF(AN946=15,M946,0)</f>
        <v>0</v>
      </c>
      <c r="AL946" s="18">
        <f>IF(AN946=21,M946,0)</f>
        <v>0</v>
      </c>
      <c r="AN946" s="28">
        <v>15</v>
      </c>
      <c r="AO946" s="28">
        <f>J946*0.691895733674816</f>
        <v>0</v>
      </c>
      <c r="AP946" s="28">
        <f>J946*(1-0.691895733674816)</f>
        <v>0</v>
      </c>
      <c r="AQ946" s="29" t="s">
        <v>7</v>
      </c>
      <c r="AV946" s="28">
        <f>AW946+AX946</f>
        <v>0</v>
      </c>
      <c r="AW946" s="28">
        <f>I946*AO946</f>
        <v>0</v>
      </c>
      <c r="AX946" s="28">
        <f>I946*AP946</f>
        <v>0</v>
      </c>
      <c r="AY946" s="31" t="s">
        <v>1602</v>
      </c>
      <c r="AZ946" s="31" t="s">
        <v>1613</v>
      </c>
      <c r="BA946" s="27" t="s">
        <v>1628</v>
      </c>
      <c r="BC946" s="28">
        <f>AW946+AX946</f>
        <v>0</v>
      </c>
      <c r="BD946" s="28">
        <f>J946/(100-BE946)*100</f>
        <v>0</v>
      </c>
      <c r="BE946" s="28">
        <v>0</v>
      </c>
      <c r="BF946" s="28">
        <f>946</f>
        <v>946</v>
      </c>
      <c r="BH946" s="18">
        <f>I946*AO946</f>
        <v>0</v>
      </c>
      <c r="BI946" s="18">
        <f>I946*AP946</f>
        <v>0</v>
      </c>
      <c r="BJ946" s="18">
        <f>I946*J946</f>
        <v>0</v>
      </c>
      <c r="BK946" s="18" t="s">
        <v>1634</v>
      </c>
      <c r="BL946" s="28">
        <v>94</v>
      </c>
    </row>
    <row r="947" spans="1:15" ht="12.75">
      <c r="A947" s="3"/>
      <c r="D947" s="136" t="s">
        <v>1199</v>
      </c>
      <c r="E947" s="137"/>
      <c r="F947" s="137"/>
      <c r="G947" s="137"/>
      <c r="H947" s="137"/>
      <c r="I947" s="137"/>
      <c r="J947" s="137"/>
      <c r="K947" s="137"/>
      <c r="L947" s="137"/>
      <c r="M947" s="137"/>
      <c r="N947" s="138"/>
      <c r="O947" s="3"/>
    </row>
    <row r="948" spans="1:15" ht="12.75">
      <c r="A948" s="3"/>
      <c r="D948" s="14" t="s">
        <v>1200</v>
      </c>
      <c r="G948" s="16"/>
      <c r="I948" s="19">
        <v>41.64</v>
      </c>
      <c r="N948" s="24"/>
      <c r="O948" s="3"/>
    </row>
    <row r="949" spans="1:15" ht="12.75">
      <c r="A949" s="3"/>
      <c r="C949" s="13" t="s">
        <v>302</v>
      </c>
      <c r="D949" s="145" t="s">
        <v>1201</v>
      </c>
      <c r="E949" s="146"/>
      <c r="F949" s="146"/>
      <c r="G949" s="146"/>
      <c r="H949" s="146"/>
      <c r="I949" s="146"/>
      <c r="J949" s="146"/>
      <c r="K949" s="146"/>
      <c r="L949" s="146"/>
      <c r="M949" s="146"/>
      <c r="N949" s="147"/>
      <c r="O949" s="3"/>
    </row>
    <row r="950" spans="1:47" ht="12.75">
      <c r="A950" s="72"/>
      <c r="B950" s="73" t="s">
        <v>283</v>
      </c>
      <c r="C950" s="73" t="s">
        <v>101</v>
      </c>
      <c r="D950" s="130" t="s">
        <v>1202</v>
      </c>
      <c r="E950" s="131"/>
      <c r="F950" s="131"/>
      <c r="G950" s="132"/>
      <c r="H950" s="72" t="s">
        <v>6</v>
      </c>
      <c r="I950" s="72" t="s">
        <v>6</v>
      </c>
      <c r="J950" s="72" t="s">
        <v>6</v>
      </c>
      <c r="K950" s="76">
        <f>SUM(K951:K964)</f>
        <v>0</v>
      </c>
      <c r="L950" s="76">
        <f>SUM(L951:L964)</f>
        <v>0</v>
      </c>
      <c r="M950" s="76">
        <f>SUM(M951:M964)</f>
        <v>0</v>
      </c>
      <c r="N950" s="71"/>
      <c r="O950" s="67"/>
      <c r="AI950" s="27" t="s">
        <v>283</v>
      </c>
      <c r="AS950" s="33">
        <f>SUM(AJ951:AJ964)</f>
        <v>0</v>
      </c>
      <c r="AT950" s="33">
        <f>SUM(AK951:AK964)</f>
        <v>0</v>
      </c>
      <c r="AU950" s="33">
        <f>SUM(AL951:AL964)</f>
        <v>0</v>
      </c>
    </row>
    <row r="951" spans="1:64" ht="12.75">
      <c r="A951" s="81" t="s">
        <v>220</v>
      </c>
      <c r="B951" s="81" t="s">
        <v>283</v>
      </c>
      <c r="C951" s="81" t="s">
        <v>517</v>
      </c>
      <c r="D951" s="139" t="s">
        <v>1203</v>
      </c>
      <c r="E951" s="134"/>
      <c r="F951" s="134"/>
      <c r="G951" s="140"/>
      <c r="H951" s="81" t="s">
        <v>1535</v>
      </c>
      <c r="I951" s="87">
        <v>152.88</v>
      </c>
      <c r="J951" s="87">
        <v>0</v>
      </c>
      <c r="K951" s="87">
        <f>I951*AO951</f>
        <v>0</v>
      </c>
      <c r="L951" s="87">
        <f>I951*AP951</f>
        <v>0</v>
      </c>
      <c r="M951" s="87">
        <f>I951*J951</f>
        <v>0</v>
      </c>
      <c r="N951" s="77" t="s">
        <v>1556</v>
      </c>
      <c r="O951" s="67"/>
      <c r="Z951" s="28">
        <f>IF(AQ951="5",BJ951,0)</f>
        <v>0</v>
      </c>
      <c r="AB951" s="28">
        <f>IF(AQ951="1",BH951,0)</f>
        <v>0</v>
      </c>
      <c r="AC951" s="28">
        <f>IF(AQ951="1",BI951,0)</f>
        <v>0</v>
      </c>
      <c r="AD951" s="28">
        <f>IF(AQ951="7",BH951,0)</f>
        <v>0</v>
      </c>
      <c r="AE951" s="28">
        <f>IF(AQ951="7",BI951,0)</f>
        <v>0</v>
      </c>
      <c r="AF951" s="28">
        <f>IF(AQ951="2",BH951,0)</f>
        <v>0</v>
      </c>
      <c r="AG951" s="28">
        <f>IF(AQ951="2",BI951,0)</f>
        <v>0</v>
      </c>
      <c r="AH951" s="28">
        <f>IF(AQ951="0",BJ951,0)</f>
        <v>0</v>
      </c>
      <c r="AI951" s="27" t="s">
        <v>283</v>
      </c>
      <c r="AJ951" s="18">
        <f>IF(AN951=0,M951,0)</f>
        <v>0</v>
      </c>
      <c r="AK951" s="18">
        <f>IF(AN951=15,M951,0)</f>
        <v>0</v>
      </c>
      <c r="AL951" s="18">
        <f>IF(AN951=21,M951,0)</f>
        <v>0</v>
      </c>
      <c r="AN951" s="28">
        <v>15</v>
      </c>
      <c r="AO951" s="28">
        <f>J951*0.011843137254902</f>
        <v>0</v>
      </c>
      <c r="AP951" s="28">
        <f>J951*(1-0.011843137254902)</f>
        <v>0</v>
      </c>
      <c r="AQ951" s="29" t="s">
        <v>7</v>
      </c>
      <c r="AV951" s="28">
        <f>AW951+AX951</f>
        <v>0</v>
      </c>
      <c r="AW951" s="28">
        <f>I951*AO951</f>
        <v>0</v>
      </c>
      <c r="AX951" s="28">
        <f>I951*AP951</f>
        <v>0</v>
      </c>
      <c r="AY951" s="31" t="s">
        <v>1603</v>
      </c>
      <c r="AZ951" s="31" t="s">
        <v>1613</v>
      </c>
      <c r="BA951" s="27" t="s">
        <v>1628</v>
      </c>
      <c r="BC951" s="28">
        <f>AW951+AX951</f>
        <v>0</v>
      </c>
      <c r="BD951" s="28">
        <f>J951/(100-BE951)*100</f>
        <v>0</v>
      </c>
      <c r="BE951" s="28">
        <v>0</v>
      </c>
      <c r="BF951" s="28">
        <f>951</f>
        <v>951</v>
      </c>
      <c r="BH951" s="18">
        <f>I951*AO951</f>
        <v>0</v>
      </c>
      <c r="BI951" s="18">
        <f>I951*AP951</f>
        <v>0</v>
      </c>
      <c r="BJ951" s="18">
        <f>I951*J951</f>
        <v>0</v>
      </c>
      <c r="BK951" s="18" t="s">
        <v>1634</v>
      </c>
      <c r="BL951" s="28">
        <v>95</v>
      </c>
    </row>
    <row r="952" spans="1:15" ht="12.75">
      <c r="A952" s="82"/>
      <c r="B952" s="83"/>
      <c r="C952" s="83"/>
      <c r="D952" s="85" t="s">
        <v>1204</v>
      </c>
      <c r="G952" s="86" t="s">
        <v>1408</v>
      </c>
      <c r="H952" s="83"/>
      <c r="I952" s="88">
        <v>152.88</v>
      </c>
      <c r="J952" s="83"/>
      <c r="K952" s="83"/>
      <c r="L952" s="83"/>
      <c r="M952" s="83"/>
      <c r="N952" s="80"/>
      <c r="O952" s="67"/>
    </row>
    <row r="953" spans="1:15" ht="12.75">
      <c r="A953" s="3"/>
      <c r="C953" s="12" t="s">
        <v>296</v>
      </c>
      <c r="D953" s="142" t="s">
        <v>622</v>
      </c>
      <c r="E953" s="143"/>
      <c r="F953" s="143"/>
      <c r="G953" s="143"/>
      <c r="H953" s="143"/>
      <c r="I953" s="143"/>
      <c r="J953" s="143"/>
      <c r="K953" s="143"/>
      <c r="L953" s="143"/>
      <c r="M953" s="143"/>
      <c r="N953" s="144"/>
      <c r="O953" s="3"/>
    </row>
    <row r="954" spans="1:64" ht="12.75">
      <c r="A954" s="81" t="s">
        <v>221</v>
      </c>
      <c r="B954" s="81" t="s">
        <v>283</v>
      </c>
      <c r="C954" s="81" t="s">
        <v>518</v>
      </c>
      <c r="D954" s="139" t="s">
        <v>1205</v>
      </c>
      <c r="E954" s="134"/>
      <c r="F954" s="134"/>
      <c r="G954" s="140"/>
      <c r="H954" s="81" t="s">
        <v>1538</v>
      </c>
      <c r="I954" s="87">
        <v>32</v>
      </c>
      <c r="J954" s="87">
        <v>0</v>
      </c>
      <c r="K954" s="87">
        <f>I954*AO954</f>
        <v>0</v>
      </c>
      <c r="L954" s="87">
        <f>I954*AP954</f>
        <v>0</v>
      </c>
      <c r="M954" s="87">
        <f>I954*J954</f>
        <v>0</v>
      </c>
      <c r="N954" s="77" t="s">
        <v>1556</v>
      </c>
      <c r="O954" s="67"/>
      <c r="Z954" s="28">
        <f>IF(AQ954="5",BJ954,0)</f>
        <v>0</v>
      </c>
      <c r="AB954" s="28">
        <f>IF(AQ954="1",BH954,0)</f>
        <v>0</v>
      </c>
      <c r="AC954" s="28">
        <f>IF(AQ954="1",BI954,0)</f>
        <v>0</v>
      </c>
      <c r="AD954" s="28">
        <f>IF(AQ954="7",BH954,0)</f>
        <v>0</v>
      </c>
      <c r="AE954" s="28">
        <f>IF(AQ954="7",BI954,0)</f>
        <v>0</v>
      </c>
      <c r="AF954" s="28">
        <f>IF(AQ954="2",BH954,0)</f>
        <v>0</v>
      </c>
      <c r="AG954" s="28">
        <f>IF(AQ954="2",BI954,0)</f>
        <v>0</v>
      </c>
      <c r="AH954" s="28">
        <f>IF(AQ954="0",BJ954,0)</f>
        <v>0</v>
      </c>
      <c r="AI954" s="27" t="s">
        <v>283</v>
      </c>
      <c r="AJ954" s="18">
        <f>IF(AN954=0,M954,0)</f>
        <v>0</v>
      </c>
      <c r="AK954" s="18">
        <f>IF(AN954=15,M954,0)</f>
        <v>0</v>
      </c>
      <c r="AL954" s="18">
        <f>IF(AN954=21,M954,0)</f>
        <v>0</v>
      </c>
      <c r="AN954" s="28">
        <v>15</v>
      </c>
      <c r="AO954" s="28">
        <f>J954*0.539788918205805</f>
        <v>0</v>
      </c>
      <c r="AP954" s="28">
        <f>J954*(1-0.539788918205805)</f>
        <v>0</v>
      </c>
      <c r="AQ954" s="29" t="s">
        <v>7</v>
      </c>
      <c r="AV954" s="28">
        <f>AW954+AX954</f>
        <v>0</v>
      </c>
      <c r="AW954" s="28">
        <f>I954*AO954</f>
        <v>0</v>
      </c>
      <c r="AX954" s="28">
        <f>I954*AP954</f>
        <v>0</v>
      </c>
      <c r="AY954" s="31" t="s">
        <v>1603</v>
      </c>
      <c r="AZ954" s="31" t="s">
        <v>1613</v>
      </c>
      <c r="BA954" s="27" t="s">
        <v>1628</v>
      </c>
      <c r="BC954" s="28">
        <f>AW954+AX954</f>
        <v>0</v>
      </c>
      <c r="BD954" s="28">
        <f>J954/(100-BE954)*100</f>
        <v>0</v>
      </c>
      <c r="BE954" s="28">
        <v>0</v>
      </c>
      <c r="BF954" s="28">
        <f>954</f>
        <v>954</v>
      </c>
      <c r="BH954" s="18">
        <f>I954*AO954</f>
        <v>0</v>
      </c>
      <c r="BI954" s="18">
        <f>I954*AP954</f>
        <v>0</v>
      </c>
      <c r="BJ954" s="18">
        <f>I954*J954</f>
        <v>0</v>
      </c>
      <c r="BK954" s="18" t="s">
        <v>1634</v>
      </c>
      <c r="BL954" s="28">
        <v>95</v>
      </c>
    </row>
    <row r="955" spans="1:15" ht="12.75">
      <c r="A955" s="82"/>
      <c r="B955" s="83"/>
      <c r="C955" s="83"/>
      <c r="D955" s="85" t="s">
        <v>1206</v>
      </c>
      <c r="G955" s="86" t="s">
        <v>1510</v>
      </c>
      <c r="H955" s="83"/>
      <c r="I955" s="88">
        <v>32</v>
      </c>
      <c r="J955" s="83"/>
      <c r="K955" s="83"/>
      <c r="L955" s="83"/>
      <c r="M955" s="83"/>
      <c r="N955" s="80"/>
      <c r="O955" s="67"/>
    </row>
    <row r="956" spans="1:15" ht="12.75">
      <c r="A956" s="3"/>
      <c r="C956" s="13" t="s">
        <v>302</v>
      </c>
      <c r="D956" s="145" t="s">
        <v>1207</v>
      </c>
      <c r="E956" s="146"/>
      <c r="F956" s="146"/>
      <c r="G956" s="146"/>
      <c r="H956" s="146"/>
      <c r="I956" s="146"/>
      <c r="J956" s="146"/>
      <c r="K956" s="146"/>
      <c r="L956" s="146"/>
      <c r="M956" s="146"/>
      <c r="N956" s="147"/>
      <c r="O956" s="3"/>
    </row>
    <row r="957" spans="1:15" ht="12.75">
      <c r="A957" s="3"/>
      <c r="C957" s="12" t="s">
        <v>296</v>
      </c>
      <c r="D957" s="142" t="s">
        <v>1105</v>
      </c>
      <c r="E957" s="143"/>
      <c r="F957" s="143"/>
      <c r="G957" s="143"/>
      <c r="H957" s="143"/>
      <c r="I957" s="143"/>
      <c r="J957" s="143"/>
      <c r="K957" s="143"/>
      <c r="L957" s="143"/>
      <c r="M957" s="143"/>
      <c r="N957" s="144"/>
      <c r="O957" s="3"/>
    </row>
    <row r="958" spans="1:64" ht="12.75">
      <c r="A958" s="2" t="s">
        <v>222</v>
      </c>
      <c r="B958" s="9" t="s">
        <v>283</v>
      </c>
      <c r="C958" s="9" t="s">
        <v>519</v>
      </c>
      <c r="D958" s="141" t="s">
        <v>1208</v>
      </c>
      <c r="E958" s="134"/>
      <c r="F958" s="134"/>
      <c r="G958" s="134"/>
      <c r="H958" s="9" t="s">
        <v>1538</v>
      </c>
      <c r="I958" s="18">
        <v>16</v>
      </c>
      <c r="J958" s="18">
        <v>0</v>
      </c>
      <c r="K958" s="18">
        <f>I958*AO958</f>
        <v>0</v>
      </c>
      <c r="L958" s="18">
        <f>I958*AP958</f>
        <v>0</v>
      </c>
      <c r="M958" s="18">
        <f>I958*J958</f>
        <v>0</v>
      </c>
      <c r="N958" s="23" t="s">
        <v>1557</v>
      </c>
      <c r="O958" s="3"/>
      <c r="Z958" s="28">
        <f>IF(AQ958="5",BJ958,0)</f>
        <v>0</v>
      </c>
      <c r="AB958" s="28">
        <f>IF(AQ958="1",BH958,0)</f>
        <v>0</v>
      </c>
      <c r="AC958" s="28">
        <f>IF(AQ958="1",BI958,0)</f>
        <v>0</v>
      </c>
      <c r="AD958" s="28">
        <f>IF(AQ958="7",BH958,0)</f>
        <v>0</v>
      </c>
      <c r="AE958" s="28">
        <f>IF(AQ958="7",BI958,0)</f>
        <v>0</v>
      </c>
      <c r="AF958" s="28">
        <f>IF(AQ958="2",BH958,0)</f>
        <v>0</v>
      </c>
      <c r="AG958" s="28">
        <f>IF(AQ958="2",BI958,0)</f>
        <v>0</v>
      </c>
      <c r="AH958" s="28">
        <f>IF(AQ958="0",BJ958,0)</f>
        <v>0</v>
      </c>
      <c r="AI958" s="27" t="s">
        <v>283</v>
      </c>
      <c r="AJ958" s="18">
        <f>IF(AN958=0,M958,0)</f>
        <v>0</v>
      </c>
      <c r="AK958" s="18">
        <f>IF(AN958=15,M958,0)</f>
        <v>0</v>
      </c>
      <c r="AL958" s="18">
        <f>IF(AN958=21,M958,0)</f>
        <v>0</v>
      </c>
      <c r="AN958" s="28">
        <v>15</v>
      </c>
      <c r="AO958" s="28">
        <f>J958*0.554660448024875</f>
        <v>0</v>
      </c>
      <c r="AP958" s="28">
        <f>J958*(1-0.554660448024875)</f>
        <v>0</v>
      </c>
      <c r="AQ958" s="29" t="s">
        <v>7</v>
      </c>
      <c r="AV958" s="28">
        <f>AW958+AX958</f>
        <v>0</v>
      </c>
      <c r="AW958" s="28">
        <f>I958*AO958</f>
        <v>0</v>
      </c>
      <c r="AX958" s="28">
        <f>I958*AP958</f>
        <v>0</v>
      </c>
      <c r="AY958" s="31" t="s">
        <v>1603</v>
      </c>
      <c r="AZ958" s="31" t="s">
        <v>1613</v>
      </c>
      <c r="BA958" s="27" t="s">
        <v>1628</v>
      </c>
      <c r="BC958" s="28">
        <f>AW958+AX958</f>
        <v>0</v>
      </c>
      <c r="BD958" s="28">
        <f>J958/(100-BE958)*100</f>
        <v>0</v>
      </c>
      <c r="BE958" s="28">
        <v>0</v>
      </c>
      <c r="BF958" s="28">
        <f>958</f>
        <v>958</v>
      </c>
      <c r="BH958" s="18">
        <f>I958*AO958</f>
        <v>0</v>
      </c>
      <c r="BI958" s="18">
        <f>I958*AP958</f>
        <v>0</v>
      </c>
      <c r="BJ958" s="18">
        <f>I958*J958</f>
        <v>0</v>
      </c>
      <c r="BK958" s="18" t="s">
        <v>1634</v>
      </c>
      <c r="BL958" s="28">
        <v>95</v>
      </c>
    </row>
    <row r="959" spans="1:15" ht="12.75">
      <c r="A959" s="3"/>
      <c r="D959" s="14" t="s">
        <v>1209</v>
      </c>
      <c r="G959" s="16" t="s">
        <v>1510</v>
      </c>
      <c r="I959" s="19">
        <v>16</v>
      </c>
      <c r="N959" s="24"/>
      <c r="O959" s="3"/>
    </row>
    <row r="960" spans="1:15" ht="12.75">
      <c r="A960" s="3"/>
      <c r="C960" s="13" t="s">
        <v>302</v>
      </c>
      <c r="D960" s="145" t="s">
        <v>1210</v>
      </c>
      <c r="E960" s="146"/>
      <c r="F960" s="146"/>
      <c r="G960" s="146"/>
      <c r="H960" s="146"/>
      <c r="I960" s="146"/>
      <c r="J960" s="146"/>
      <c r="K960" s="146"/>
      <c r="L960" s="146"/>
      <c r="M960" s="146"/>
      <c r="N960" s="147"/>
      <c r="O960" s="3"/>
    </row>
    <row r="961" spans="1:64" ht="12.75">
      <c r="A961" s="81" t="s">
        <v>223</v>
      </c>
      <c r="B961" s="81" t="s">
        <v>283</v>
      </c>
      <c r="C961" s="81" t="s">
        <v>520</v>
      </c>
      <c r="D961" s="139" t="s">
        <v>1211</v>
      </c>
      <c r="E961" s="134"/>
      <c r="F961" s="134"/>
      <c r="G961" s="140"/>
      <c r="H961" s="81" t="s">
        <v>1535</v>
      </c>
      <c r="I961" s="87">
        <v>182.2</v>
      </c>
      <c r="J961" s="87">
        <v>0</v>
      </c>
      <c r="K961" s="87">
        <f>I961*AO961</f>
        <v>0</v>
      </c>
      <c r="L961" s="87">
        <f>I961*AP961</f>
        <v>0</v>
      </c>
      <c r="M961" s="87">
        <f>I961*J961</f>
        <v>0</v>
      </c>
      <c r="N961" s="77" t="s">
        <v>1556</v>
      </c>
      <c r="O961" s="67"/>
      <c r="Z961" s="28">
        <f>IF(AQ961="5",BJ961,0)</f>
        <v>0</v>
      </c>
      <c r="AB961" s="28">
        <f>IF(AQ961="1",BH961,0)</f>
        <v>0</v>
      </c>
      <c r="AC961" s="28">
        <f>IF(AQ961="1",BI961,0)</f>
        <v>0</v>
      </c>
      <c r="AD961" s="28">
        <f>IF(AQ961="7",BH961,0)</f>
        <v>0</v>
      </c>
      <c r="AE961" s="28">
        <f>IF(AQ961="7",BI961,0)</f>
        <v>0</v>
      </c>
      <c r="AF961" s="28">
        <f>IF(AQ961="2",BH961,0)</f>
        <v>0</v>
      </c>
      <c r="AG961" s="28">
        <f>IF(AQ961="2",BI961,0)</f>
        <v>0</v>
      </c>
      <c r="AH961" s="28">
        <f>IF(AQ961="0",BJ961,0)</f>
        <v>0</v>
      </c>
      <c r="AI961" s="27" t="s">
        <v>283</v>
      </c>
      <c r="AJ961" s="18">
        <f>IF(AN961=0,M961,0)</f>
        <v>0</v>
      </c>
      <c r="AK961" s="18">
        <f>IF(AN961=15,M961,0)</f>
        <v>0</v>
      </c>
      <c r="AL961" s="18">
        <f>IF(AN961=21,M961,0)</f>
        <v>0</v>
      </c>
      <c r="AN961" s="28">
        <v>15</v>
      </c>
      <c r="AO961" s="28">
        <f>J961*0</f>
        <v>0</v>
      </c>
      <c r="AP961" s="28">
        <f>J961*(1-0)</f>
        <v>0</v>
      </c>
      <c r="AQ961" s="29" t="s">
        <v>7</v>
      </c>
      <c r="AV961" s="28">
        <f>AW961+AX961</f>
        <v>0</v>
      </c>
      <c r="AW961" s="28">
        <f>I961*AO961</f>
        <v>0</v>
      </c>
      <c r="AX961" s="28">
        <f>I961*AP961</f>
        <v>0</v>
      </c>
      <c r="AY961" s="31" t="s">
        <v>1603</v>
      </c>
      <c r="AZ961" s="31" t="s">
        <v>1613</v>
      </c>
      <c r="BA961" s="27" t="s">
        <v>1628</v>
      </c>
      <c r="BC961" s="28">
        <f>AW961+AX961</f>
        <v>0</v>
      </c>
      <c r="BD961" s="28">
        <f>J961/(100-BE961)*100</f>
        <v>0</v>
      </c>
      <c r="BE961" s="28">
        <v>0</v>
      </c>
      <c r="BF961" s="28">
        <f>961</f>
        <v>961</v>
      </c>
      <c r="BH961" s="18">
        <f>I961*AO961</f>
        <v>0</v>
      </c>
      <c r="BI961" s="18">
        <f>I961*AP961</f>
        <v>0</v>
      </c>
      <c r="BJ961" s="18">
        <f>I961*J961</f>
        <v>0</v>
      </c>
      <c r="BK961" s="18" t="s">
        <v>1634</v>
      </c>
      <c r="BL961" s="28">
        <v>95</v>
      </c>
    </row>
    <row r="962" spans="1:15" ht="12.75">
      <c r="A962" s="82"/>
      <c r="B962" s="83"/>
      <c r="C962" s="83"/>
      <c r="D962" s="85" t="s">
        <v>1212</v>
      </c>
      <c r="G962" s="86" t="s">
        <v>1511</v>
      </c>
      <c r="H962" s="83"/>
      <c r="I962" s="88">
        <v>182.2</v>
      </c>
      <c r="J962" s="83"/>
      <c r="K962" s="83"/>
      <c r="L962" s="83"/>
      <c r="M962" s="83"/>
      <c r="N962" s="80"/>
      <c r="O962" s="67"/>
    </row>
    <row r="963" spans="1:15" ht="12.75">
      <c r="A963" s="3"/>
      <c r="C963" s="12" t="s">
        <v>296</v>
      </c>
      <c r="D963" s="142" t="s">
        <v>622</v>
      </c>
      <c r="E963" s="143"/>
      <c r="F963" s="143"/>
      <c r="G963" s="143"/>
      <c r="H963" s="143"/>
      <c r="I963" s="143"/>
      <c r="J963" s="143"/>
      <c r="K963" s="143"/>
      <c r="L963" s="143"/>
      <c r="M963" s="143"/>
      <c r="N963" s="144"/>
      <c r="O963" s="3"/>
    </row>
    <row r="964" spans="1:64" ht="12.75">
      <c r="A964" s="2" t="s">
        <v>224</v>
      </c>
      <c r="B964" s="9" t="s">
        <v>283</v>
      </c>
      <c r="C964" s="9" t="s">
        <v>521</v>
      </c>
      <c r="D964" s="141" t="s">
        <v>1213</v>
      </c>
      <c r="E964" s="134"/>
      <c r="F964" s="134"/>
      <c r="G964" s="134"/>
      <c r="H964" s="9" t="s">
        <v>1538</v>
      </c>
      <c r="I964" s="18">
        <v>9</v>
      </c>
      <c r="J964" s="18">
        <v>0</v>
      </c>
      <c r="K964" s="18">
        <f>I964*AO964</f>
        <v>0</v>
      </c>
      <c r="L964" s="18">
        <f>I964*AP964</f>
        <v>0</v>
      </c>
      <c r="M964" s="18">
        <f>I964*J964</f>
        <v>0</v>
      </c>
      <c r="N964" s="23" t="s">
        <v>1557</v>
      </c>
      <c r="O964" s="3"/>
      <c r="Z964" s="28">
        <f>IF(AQ964="5",BJ964,0)</f>
        <v>0</v>
      </c>
      <c r="AB964" s="28">
        <f>IF(AQ964="1",BH964,0)</f>
        <v>0</v>
      </c>
      <c r="AC964" s="28">
        <f>IF(AQ964="1",BI964,0)</f>
        <v>0</v>
      </c>
      <c r="AD964" s="28">
        <f>IF(AQ964="7",BH964,0)</f>
        <v>0</v>
      </c>
      <c r="AE964" s="28">
        <f>IF(AQ964="7",BI964,0)</f>
        <v>0</v>
      </c>
      <c r="AF964" s="28">
        <f>IF(AQ964="2",BH964,0)</f>
        <v>0</v>
      </c>
      <c r="AG964" s="28">
        <f>IF(AQ964="2",BI964,0)</f>
        <v>0</v>
      </c>
      <c r="AH964" s="28">
        <f>IF(AQ964="0",BJ964,0)</f>
        <v>0</v>
      </c>
      <c r="AI964" s="27" t="s">
        <v>283</v>
      </c>
      <c r="AJ964" s="18">
        <f>IF(AN964=0,M964,0)</f>
        <v>0</v>
      </c>
      <c r="AK964" s="18">
        <f>IF(AN964=15,M964,0)</f>
        <v>0</v>
      </c>
      <c r="AL964" s="18">
        <f>IF(AN964=21,M964,0)</f>
        <v>0</v>
      </c>
      <c r="AN964" s="28">
        <v>15</v>
      </c>
      <c r="AO964" s="28">
        <f>J964*0.39921325545357</f>
        <v>0</v>
      </c>
      <c r="AP964" s="28">
        <f>J964*(1-0.39921325545357)</f>
        <v>0</v>
      </c>
      <c r="AQ964" s="29" t="s">
        <v>7</v>
      </c>
      <c r="AV964" s="28">
        <f>AW964+AX964</f>
        <v>0</v>
      </c>
      <c r="AW964" s="28">
        <f>I964*AO964</f>
        <v>0</v>
      </c>
      <c r="AX964" s="28">
        <f>I964*AP964</f>
        <v>0</v>
      </c>
      <c r="AY964" s="31" t="s">
        <v>1603</v>
      </c>
      <c r="AZ964" s="31" t="s">
        <v>1613</v>
      </c>
      <c r="BA964" s="27" t="s">
        <v>1628</v>
      </c>
      <c r="BC964" s="28">
        <f>AW964+AX964</f>
        <v>0</v>
      </c>
      <c r="BD964" s="28">
        <f>J964/(100-BE964)*100</f>
        <v>0</v>
      </c>
      <c r="BE964" s="28">
        <v>0</v>
      </c>
      <c r="BF964" s="28">
        <f>964</f>
        <v>964</v>
      </c>
      <c r="BH964" s="18">
        <f>I964*AO964</f>
        <v>0</v>
      </c>
      <c r="BI964" s="18">
        <f>I964*AP964</f>
        <v>0</v>
      </c>
      <c r="BJ964" s="18">
        <f>I964*J964</f>
        <v>0</v>
      </c>
      <c r="BK964" s="18" t="s">
        <v>1634</v>
      </c>
      <c r="BL964" s="28">
        <v>95</v>
      </c>
    </row>
    <row r="965" spans="1:15" ht="12.75">
      <c r="A965" s="3"/>
      <c r="D965" s="136" t="s">
        <v>1214</v>
      </c>
      <c r="E965" s="137"/>
      <c r="F965" s="137"/>
      <c r="G965" s="137"/>
      <c r="H965" s="137"/>
      <c r="I965" s="137"/>
      <c r="J965" s="137"/>
      <c r="K965" s="137"/>
      <c r="L965" s="137"/>
      <c r="M965" s="137"/>
      <c r="N965" s="138"/>
      <c r="O965" s="3"/>
    </row>
    <row r="966" spans="1:15" ht="12.75">
      <c r="A966" s="3"/>
      <c r="D966" s="14" t="s">
        <v>1215</v>
      </c>
      <c r="G966" s="16"/>
      <c r="I966" s="19">
        <v>9</v>
      </c>
      <c r="N966" s="24"/>
      <c r="O966" s="3"/>
    </row>
    <row r="967" spans="1:15" ht="25.5" customHeight="1">
      <c r="A967" s="3"/>
      <c r="C967" s="13" t="s">
        <v>302</v>
      </c>
      <c r="D967" s="145" t="s">
        <v>1216</v>
      </c>
      <c r="E967" s="146"/>
      <c r="F967" s="146"/>
      <c r="G967" s="146"/>
      <c r="H967" s="146"/>
      <c r="I967" s="146"/>
      <c r="J967" s="146"/>
      <c r="K967" s="146"/>
      <c r="L967" s="146"/>
      <c r="M967" s="146"/>
      <c r="N967" s="147"/>
      <c r="O967" s="3"/>
    </row>
    <row r="968" spans="1:47" ht="12.75">
      <c r="A968" s="72"/>
      <c r="B968" s="73" t="s">
        <v>283</v>
      </c>
      <c r="C968" s="73" t="s">
        <v>522</v>
      </c>
      <c r="D968" s="130" t="s">
        <v>1217</v>
      </c>
      <c r="E968" s="131"/>
      <c r="F968" s="131"/>
      <c r="G968" s="132"/>
      <c r="H968" s="72" t="s">
        <v>6</v>
      </c>
      <c r="I968" s="72" t="s">
        <v>6</v>
      </c>
      <c r="J968" s="72" t="s">
        <v>6</v>
      </c>
      <c r="K968" s="76">
        <f>SUM(K969:K969)</f>
        <v>0</v>
      </c>
      <c r="L968" s="76">
        <f>SUM(L969:L969)</f>
        <v>0</v>
      </c>
      <c r="M968" s="76">
        <f>SUM(M969:M969)</f>
        <v>0</v>
      </c>
      <c r="N968" s="71"/>
      <c r="O968" s="67"/>
      <c r="AI968" s="27" t="s">
        <v>283</v>
      </c>
      <c r="AS968" s="33">
        <f>SUM(AJ969:AJ969)</f>
        <v>0</v>
      </c>
      <c r="AT968" s="33">
        <f>SUM(AK969:AK969)</f>
        <v>0</v>
      </c>
      <c r="AU968" s="33">
        <f>SUM(AL969:AL969)</f>
        <v>0</v>
      </c>
    </row>
    <row r="969" spans="1:64" ht="12.75">
      <c r="A969" s="74" t="s">
        <v>225</v>
      </c>
      <c r="B969" s="74" t="s">
        <v>283</v>
      </c>
      <c r="C969" s="74" t="s">
        <v>523</v>
      </c>
      <c r="D969" s="133" t="s">
        <v>1218</v>
      </c>
      <c r="E969" s="134"/>
      <c r="F969" s="134"/>
      <c r="G969" s="135"/>
      <c r="H969" s="74" t="s">
        <v>1538</v>
      </c>
      <c r="I969" s="75">
        <v>3</v>
      </c>
      <c r="J969" s="75">
        <v>0</v>
      </c>
      <c r="K969" s="75">
        <f>I969*AO969</f>
        <v>0</v>
      </c>
      <c r="L969" s="75">
        <f>I969*AP969</f>
        <v>0</v>
      </c>
      <c r="M969" s="75">
        <f>I969*J969</f>
        <v>0</v>
      </c>
      <c r="N969" s="78" t="s">
        <v>1555</v>
      </c>
      <c r="O969" s="67"/>
      <c r="Z969" s="28">
        <f>IF(AQ969="5",BJ969,0)</f>
        <v>0</v>
      </c>
      <c r="AB969" s="28">
        <f>IF(AQ969="1",BH969,0)</f>
        <v>0</v>
      </c>
      <c r="AC969" s="28">
        <f>IF(AQ969="1",BI969,0)</f>
        <v>0</v>
      </c>
      <c r="AD969" s="28">
        <f>IF(AQ969="7",BH969,0)</f>
        <v>0</v>
      </c>
      <c r="AE969" s="28">
        <f>IF(AQ969="7",BI969,0)</f>
        <v>0</v>
      </c>
      <c r="AF969" s="28">
        <f>IF(AQ969="2",BH969,0)</f>
        <v>0</v>
      </c>
      <c r="AG969" s="28">
        <f>IF(AQ969="2",BI969,0)</f>
        <v>0</v>
      </c>
      <c r="AH969" s="28">
        <f>IF(AQ969="0",BJ969,0)</f>
        <v>0</v>
      </c>
      <c r="AI969" s="27" t="s">
        <v>283</v>
      </c>
      <c r="AJ969" s="18">
        <f>IF(AN969=0,M969,0)</f>
        <v>0</v>
      </c>
      <c r="AK969" s="18">
        <f>IF(AN969=15,M969,0)</f>
        <v>0</v>
      </c>
      <c r="AL969" s="18">
        <f>IF(AN969=21,M969,0)</f>
        <v>0</v>
      </c>
      <c r="AN969" s="28">
        <v>15</v>
      </c>
      <c r="AO969" s="28">
        <f>J969*0</f>
        <v>0</v>
      </c>
      <c r="AP969" s="28">
        <f>J969*(1-0)</f>
        <v>0</v>
      </c>
      <c r="AQ969" s="29" t="s">
        <v>7</v>
      </c>
      <c r="AV969" s="28">
        <f>AW969+AX969</f>
        <v>0</v>
      </c>
      <c r="AW969" s="28">
        <f>I969*AO969</f>
        <v>0</v>
      </c>
      <c r="AX969" s="28">
        <f>I969*AP969</f>
        <v>0</v>
      </c>
      <c r="AY969" s="31" t="s">
        <v>1604</v>
      </c>
      <c r="AZ969" s="31" t="s">
        <v>1613</v>
      </c>
      <c r="BA969" s="27" t="s">
        <v>1628</v>
      </c>
      <c r="BC969" s="28">
        <f>AW969+AX969</f>
        <v>0</v>
      </c>
      <c r="BD969" s="28">
        <f>J969/(100-BE969)*100</f>
        <v>0</v>
      </c>
      <c r="BE969" s="28">
        <v>0</v>
      </c>
      <c r="BF969" s="28">
        <f>969</f>
        <v>969</v>
      </c>
      <c r="BH969" s="18">
        <f>I969*AO969</f>
        <v>0</v>
      </c>
      <c r="BI969" s="18">
        <f>I969*AP969</f>
        <v>0</v>
      </c>
      <c r="BJ969" s="18">
        <f>I969*J969</f>
        <v>0</v>
      </c>
      <c r="BK969" s="18" t="s">
        <v>1634</v>
      </c>
      <c r="BL969" s="28" t="s">
        <v>522</v>
      </c>
    </row>
    <row r="970" spans="1:15" ht="12.75">
      <c r="A970" s="3"/>
      <c r="D970" s="136" t="s">
        <v>1219</v>
      </c>
      <c r="E970" s="137"/>
      <c r="F970" s="137"/>
      <c r="G970" s="137"/>
      <c r="H970" s="137"/>
      <c r="I970" s="137"/>
      <c r="J970" s="137"/>
      <c r="K970" s="137"/>
      <c r="L970" s="137"/>
      <c r="M970" s="137"/>
      <c r="N970" s="138"/>
      <c r="O970" s="3"/>
    </row>
    <row r="971" spans="1:15" ht="12.75">
      <c r="A971" s="82"/>
      <c r="B971" s="83"/>
      <c r="C971" s="83"/>
      <c r="D971" s="85" t="s">
        <v>9</v>
      </c>
      <c r="G971" s="86"/>
      <c r="H971" s="83"/>
      <c r="I971" s="88">
        <v>3</v>
      </c>
      <c r="J971" s="83"/>
      <c r="K971" s="83"/>
      <c r="L971" s="83"/>
      <c r="M971" s="83"/>
      <c r="N971" s="80"/>
      <c r="O971" s="67"/>
    </row>
    <row r="972" spans="1:15" ht="12.75">
      <c r="A972" s="3"/>
      <c r="C972" s="12" t="s">
        <v>296</v>
      </c>
      <c r="D972" s="142" t="s">
        <v>622</v>
      </c>
      <c r="E972" s="143"/>
      <c r="F972" s="143"/>
      <c r="G972" s="143"/>
      <c r="H972" s="143"/>
      <c r="I972" s="143"/>
      <c r="J972" s="143"/>
      <c r="K972" s="143"/>
      <c r="L972" s="143"/>
      <c r="M972" s="143"/>
      <c r="N972" s="144"/>
      <c r="O972" s="3"/>
    </row>
    <row r="973" spans="1:47" ht="12.75">
      <c r="A973" s="72"/>
      <c r="B973" s="73" t="s">
        <v>283</v>
      </c>
      <c r="C973" s="73" t="s">
        <v>102</v>
      </c>
      <c r="D973" s="130" t="s">
        <v>1220</v>
      </c>
      <c r="E973" s="131"/>
      <c r="F973" s="131"/>
      <c r="G973" s="132"/>
      <c r="H973" s="72" t="s">
        <v>6</v>
      </c>
      <c r="I973" s="72" t="s">
        <v>6</v>
      </c>
      <c r="J973" s="72" t="s">
        <v>6</v>
      </c>
      <c r="K973" s="76">
        <f>SUM(K974:K1031)</f>
        <v>0</v>
      </c>
      <c r="L973" s="76">
        <f>SUM(L974:L1031)</f>
        <v>0</v>
      </c>
      <c r="M973" s="76">
        <f>SUM(M974:M1031)</f>
        <v>0</v>
      </c>
      <c r="N973" s="71"/>
      <c r="O973" s="67"/>
      <c r="AI973" s="27" t="s">
        <v>283</v>
      </c>
      <c r="AS973" s="33">
        <f>SUM(AJ974:AJ1031)</f>
        <v>0</v>
      </c>
      <c r="AT973" s="33">
        <f>SUM(AK974:AK1031)</f>
        <v>0</v>
      </c>
      <c r="AU973" s="33">
        <f>SUM(AL974:AL1031)</f>
        <v>0</v>
      </c>
    </row>
    <row r="974" spans="1:64" ht="12.75">
      <c r="A974" s="74" t="s">
        <v>226</v>
      </c>
      <c r="B974" s="74" t="s">
        <v>283</v>
      </c>
      <c r="C974" s="74" t="s">
        <v>524</v>
      </c>
      <c r="D974" s="133" t="s">
        <v>1221</v>
      </c>
      <c r="E974" s="134"/>
      <c r="F974" s="134"/>
      <c r="G974" s="135"/>
      <c r="H974" s="74" t="s">
        <v>1536</v>
      </c>
      <c r="I974" s="75">
        <v>1.3072</v>
      </c>
      <c r="J974" s="75">
        <v>0</v>
      </c>
      <c r="K974" s="75">
        <f>I974*AO974</f>
        <v>0</v>
      </c>
      <c r="L974" s="75">
        <f>I974*AP974</f>
        <v>0</v>
      </c>
      <c r="M974" s="75">
        <f>I974*J974</f>
        <v>0</v>
      </c>
      <c r="N974" s="78" t="s">
        <v>1556</v>
      </c>
      <c r="O974" s="67"/>
      <c r="Z974" s="28">
        <f>IF(AQ974="5",BJ974,0)</f>
        <v>0</v>
      </c>
      <c r="AB974" s="28">
        <f>IF(AQ974="1",BH974,0)</f>
        <v>0</v>
      </c>
      <c r="AC974" s="28">
        <f>IF(AQ974="1",BI974,0)</f>
        <v>0</v>
      </c>
      <c r="AD974" s="28">
        <f>IF(AQ974="7",BH974,0)</f>
        <v>0</v>
      </c>
      <c r="AE974" s="28">
        <f>IF(AQ974="7",BI974,0)</f>
        <v>0</v>
      </c>
      <c r="AF974" s="28">
        <f>IF(AQ974="2",BH974,0)</f>
        <v>0</v>
      </c>
      <c r="AG974" s="28">
        <f>IF(AQ974="2",BI974,0)</f>
        <v>0</v>
      </c>
      <c r="AH974" s="28">
        <f>IF(AQ974="0",BJ974,0)</f>
        <v>0</v>
      </c>
      <c r="AI974" s="27" t="s">
        <v>283</v>
      </c>
      <c r="AJ974" s="18">
        <f>IF(AN974=0,M974,0)</f>
        <v>0</v>
      </c>
      <c r="AK974" s="18">
        <f>IF(AN974=15,M974,0)</f>
        <v>0</v>
      </c>
      <c r="AL974" s="18">
        <f>IF(AN974=21,M974,0)</f>
        <v>0</v>
      </c>
      <c r="AN974" s="28">
        <v>15</v>
      </c>
      <c r="AO974" s="28">
        <f>J974*0</f>
        <v>0</v>
      </c>
      <c r="AP974" s="28">
        <f>J974*(1-0)</f>
        <v>0</v>
      </c>
      <c r="AQ974" s="29" t="s">
        <v>7</v>
      </c>
      <c r="AV974" s="28">
        <f>AW974+AX974</f>
        <v>0</v>
      </c>
      <c r="AW974" s="28">
        <f>I974*AO974</f>
        <v>0</v>
      </c>
      <c r="AX974" s="28">
        <f>I974*AP974</f>
        <v>0</v>
      </c>
      <c r="AY974" s="31" t="s">
        <v>1605</v>
      </c>
      <c r="AZ974" s="31" t="s">
        <v>1613</v>
      </c>
      <c r="BA974" s="27" t="s">
        <v>1628</v>
      </c>
      <c r="BC974" s="28">
        <f>AW974+AX974</f>
        <v>0</v>
      </c>
      <c r="BD974" s="28">
        <f>J974/(100-BE974)*100</f>
        <v>0</v>
      </c>
      <c r="BE974" s="28">
        <v>0</v>
      </c>
      <c r="BF974" s="28">
        <f>974</f>
        <v>974</v>
      </c>
      <c r="BH974" s="18">
        <f>I974*AO974</f>
        <v>0</v>
      </c>
      <c r="BI974" s="18">
        <f>I974*AP974</f>
        <v>0</v>
      </c>
      <c r="BJ974" s="18">
        <f>I974*J974</f>
        <v>0</v>
      </c>
      <c r="BK974" s="18" t="s">
        <v>1634</v>
      </c>
      <c r="BL974" s="28">
        <v>96</v>
      </c>
    </row>
    <row r="975" spans="1:15" ht="12.75">
      <c r="A975" s="3"/>
      <c r="D975" s="136" t="s">
        <v>1222</v>
      </c>
      <c r="E975" s="137"/>
      <c r="F975" s="137"/>
      <c r="G975" s="137"/>
      <c r="H975" s="137"/>
      <c r="I975" s="137"/>
      <c r="J975" s="137"/>
      <c r="K975" s="137"/>
      <c r="L975" s="137"/>
      <c r="M975" s="137"/>
      <c r="N975" s="138"/>
      <c r="O975" s="3"/>
    </row>
    <row r="976" spans="1:15" ht="12.75">
      <c r="A976" s="82"/>
      <c r="B976" s="83"/>
      <c r="C976" s="83"/>
      <c r="D976" s="85" t="s">
        <v>1223</v>
      </c>
      <c r="G976" s="86" t="s">
        <v>1512</v>
      </c>
      <c r="H976" s="83"/>
      <c r="I976" s="88">
        <v>1.3072</v>
      </c>
      <c r="J976" s="83"/>
      <c r="K976" s="83"/>
      <c r="L976" s="83"/>
      <c r="M976" s="83"/>
      <c r="N976" s="80"/>
      <c r="O976" s="67"/>
    </row>
    <row r="977" spans="1:15" ht="12.75">
      <c r="A977" s="3"/>
      <c r="C977" s="12" t="s">
        <v>296</v>
      </c>
      <c r="D977" s="142" t="s">
        <v>877</v>
      </c>
      <c r="E977" s="143"/>
      <c r="F977" s="143"/>
      <c r="G977" s="143"/>
      <c r="H977" s="143"/>
      <c r="I977" s="143"/>
      <c r="J977" s="143"/>
      <c r="K977" s="143"/>
      <c r="L977" s="143"/>
      <c r="M977" s="143"/>
      <c r="N977" s="144"/>
      <c r="O977" s="3"/>
    </row>
    <row r="978" spans="1:64" ht="12.75">
      <c r="A978" s="81" t="s">
        <v>227</v>
      </c>
      <c r="B978" s="81" t="s">
        <v>283</v>
      </c>
      <c r="C978" s="81" t="s">
        <v>525</v>
      </c>
      <c r="D978" s="139" t="s">
        <v>1224</v>
      </c>
      <c r="E978" s="134"/>
      <c r="F978" s="134"/>
      <c r="G978" s="140"/>
      <c r="H978" s="81" t="s">
        <v>1535</v>
      </c>
      <c r="I978" s="87">
        <v>13.072</v>
      </c>
      <c r="J978" s="87">
        <v>0</v>
      </c>
      <c r="K978" s="87">
        <f>I978*AO978</f>
        <v>0</v>
      </c>
      <c r="L978" s="87">
        <f>I978*AP978</f>
        <v>0</v>
      </c>
      <c r="M978" s="87">
        <f>I978*J978</f>
        <v>0</v>
      </c>
      <c r="N978" s="77" t="s">
        <v>1556</v>
      </c>
      <c r="O978" s="67"/>
      <c r="Z978" s="28">
        <f>IF(AQ978="5",BJ978,0)</f>
        <v>0</v>
      </c>
      <c r="AB978" s="28">
        <f>IF(AQ978="1",BH978,0)</f>
        <v>0</v>
      </c>
      <c r="AC978" s="28">
        <f>IF(AQ978="1",BI978,0)</f>
        <v>0</v>
      </c>
      <c r="AD978" s="28">
        <f>IF(AQ978="7",BH978,0)</f>
        <v>0</v>
      </c>
      <c r="AE978" s="28">
        <f>IF(AQ978="7",BI978,0)</f>
        <v>0</v>
      </c>
      <c r="AF978" s="28">
        <f>IF(AQ978="2",BH978,0)</f>
        <v>0</v>
      </c>
      <c r="AG978" s="28">
        <f>IF(AQ978="2",BI978,0)</f>
        <v>0</v>
      </c>
      <c r="AH978" s="28">
        <f>IF(AQ978="0",BJ978,0)</f>
        <v>0</v>
      </c>
      <c r="AI978" s="27" t="s">
        <v>283</v>
      </c>
      <c r="AJ978" s="18">
        <f>IF(AN978=0,M978,0)</f>
        <v>0</v>
      </c>
      <c r="AK978" s="18">
        <f>IF(AN978=15,M978,0)</f>
        <v>0</v>
      </c>
      <c r="AL978" s="18">
        <f>IF(AN978=21,M978,0)</f>
        <v>0</v>
      </c>
      <c r="AN978" s="28">
        <v>15</v>
      </c>
      <c r="AO978" s="28">
        <f>J978*0</f>
        <v>0</v>
      </c>
      <c r="AP978" s="28">
        <f>J978*(1-0)</f>
        <v>0</v>
      </c>
      <c r="AQ978" s="29" t="s">
        <v>7</v>
      </c>
      <c r="AV978" s="28">
        <f>AW978+AX978</f>
        <v>0</v>
      </c>
      <c r="AW978" s="28">
        <f>I978*AO978</f>
        <v>0</v>
      </c>
      <c r="AX978" s="28">
        <f>I978*AP978</f>
        <v>0</v>
      </c>
      <c r="AY978" s="31" t="s">
        <v>1605</v>
      </c>
      <c r="AZ978" s="31" t="s">
        <v>1613</v>
      </c>
      <c r="BA978" s="27" t="s">
        <v>1628</v>
      </c>
      <c r="BC978" s="28">
        <f>AW978+AX978</f>
        <v>0</v>
      </c>
      <c r="BD978" s="28">
        <f>J978/(100-BE978)*100</f>
        <v>0</v>
      </c>
      <c r="BE978" s="28">
        <v>0</v>
      </c>
      <c r="BF978" s="28">
        <f>978</f>
        <v>978</v>
      </c>
      <c r="BH978" s="18">
        <f>I978*AO978</f>
        <v>0</v>
      </c>
      <c r="BI978" s="18">
        <f>I978*AP978</f>
        <v>0</v>
      </c>
      <c r="BJ978" s="18">
        <f>I978*J978</f>
        <v>0</v>
      </c>
      <c r="BK978" s="18" t="s">
        <v>1634</v>
      </c>
      <c r="BL978" s="28">
        <v>96</v>
      </c>
    </row>
    <row r="979" spans="1:15" ht="12.75">
      <c r="A979" s="82"/>
      <c r="B979" s="83"/>
      <c r="C979" s="83"/>
      <c r="D979" s="85" t="s">
        <v>1225</v>
      </c>
      <c r="G979" s="86" t="s">
        <v>1512</v>
      </c>
      <c r="H979" s="83"/>
      <c r="I979" s="88">
        <v>13.072</v>
      </c>
      <c r="J979" s="83"/>
      <c r="K979" s="83"/>
      <c r="L979" s="83"/>
      <c r="M979" s="83"/>
      <c r="N979" s="80"/>
      <c r="O979" s="67"/>
    </row>
    <row r="980" spans="1:15" ht="12.75">
      <c r="A980" s="3"/>
      <c r="C980" s="12" t="s">
        <v>296</v>
      </c>
      <c r="D980" s="142" t="s">
        <v>877</v>
      </c>
      <c r="E980" s="143"/>
      <c r="F980" s="143"/>
      <c r="G980" s="143"/>
      <c r="H980" s="143"/>
      <c r="I980" s="143"/>
      <c r="J980" s="143"/>
      <c r="K980" s="143"/>
      <c r="L980" s="143"/>
      <c r="M980" s="143"/>
      <c r="N980" s="144"/>
      <c r="O980" s="3"/>
    </row>
    <row r="981" spans="1:64" ht="12.75">
      <c r="A981" s="81" t="s">
        <v>228</v>
      </c>
      <c r="B981" s="81" t="s">
        <v>283</v>
      </c>
      <c r="C981" s="81" t="s">
        <v>526</v>
      </c>
      <c r="D981" s="139" t="s">
        <v>1226</v>
      </c>
      <c r="E981" s="134"/>
      <c r="F981" s="134"/>
      <c r="G981" s="140"/>
      <c r="H981" s="81" t="s">
        <v>1539</v>
      </c>
      <c r="I981" s="87">
        <v>73.46</v>
      </c>
      <c r="J981" s="87">
        <v>0</v>
      </c>
      <c r="K981" s="87">
        <f>I981*AO981</f>
        <v>0</v>
      </c>
      <c r="L981" s="87">
        <f>I981*AP981</f>
        <v>0</v>
      </c>
      <c r="M981" s="87">
        <f>I981*J981</f>
        <v>0</v>
      </c>
      <c r="N981" s="77" t="s">
        <v>1556</v>
      </c>
      <c r="O981" s="67"/>
      <c r="Z981" s="28">
        <f>IF(AQ981="5",BJ981,0)</f>
        <v>0</v>
      </c>
      <c r="AB981" s="28">
        <f>IF(AQ981="1",BH981,0)</f>
        <v>0</v>
      </c>
      <c r="AC981" s="28">
        <f>IF(AQ981="1",BI981,0)</f>
        <v>0</v>
      </c>
      <c r="AD981" s="28">
        <f>IF(AQ981="7",BH981,0)</f>
        <v>0</v>
      </c>
      <c r="AE981" s="28">
        <f>IF(AQ981="7",BI981,0)</f>
        <v>0</v>
      </c>
      <c r="AF981" s="28">
        <f>IF(AQ981="2",BH981,0)</f>
        <v>0</v>
      </c>
      <c r="AG981" s="28">
        <f>IF(AQ981="2",BI981,0)</f>
        <v>0</v>
      </c>
      <c r="AH981" s="28">
        <f>IF(AQ981="0",BJ981,0)</f>
        <v>0</v>
      </c>
      <c r="AI981" s="27" t="s">
        <v>283</v>
      </c>
      <c r="AJ981" s="18">
        <f>IF(AN981=0,M981,0)</f>
        <v>0</v>
      </c>
      <c r="AK981" s="18">
        <f>IF(AN981=15,M981,0)</f>
        <v>0</v>
      </c>
      <c r="AL981" s="18">
        <f>IF(AN981=21,M981,0)</f>
        <v>0</v>
      </c>
      <c r="AN981" s="28">
        <v>15</v>
      </c>
      <c r="AO981" s="28">
        <f>J981*0</f>
        <v>0</v>
      </c>
      <c r="AP981" s="28">
        <f>J981*(1-0)</f>
        <v>0</v>
      </c>
      <c r="AQ981" s="29" t="s">
        <v>7</v>
      </c>
      <c r="AV981" s="28">
        <f>AW981+AX981</f>
        <v>0</v>
      </c>
      <c r="AW981" s="28">
        <f>I981*AO981</f>
        <v>0</v>
      </c>
      <c r="AX981" s="28">
        <f>I981*AP981</f>
        <v>0</v>
      </c>
      <c r="AY981" s="31" t="s">
        <v>1605</v>
      </c>
      <c r="AZ981" s="31" t="s">
        <v>1613</v>
      </c>
      <c r="BA981" s="27" t="s">
        <v>1628</v>
      </c>
      <c r="BC981" s="28">
        <f>AW981+AX981</f>
        <v>0</v>
      </c>
      <c r="BD981" s="28">
        <f>J981/(100-BE981)*100</f>
        <v>0</v>
      </c>
      <c r="BE981" s="28">
        <v>0</v>
      </c>
      <c r="BF981" s="28">
        <f>981</f>
        <v>981</v>
      </c>
      <c r="BH981" s="18">
        <f>I981*AO981</f>
        <v>0</v>
      </c>
      <c r="BI981" s="18">
        <f>I981*AP981</f>
        <v>0</v>
      </c>
      <c r="BJ981" s="18">
        <f>I981*J981</f>
        <v>0</v>
      </c>
      <c r="BK981" s="18" t="s">
        <v>1634</v>
      </c>
      <c r="BL981" s="28">
        <v>96</v>
      </c>
    </row>
    <row r="982" spans="1:15" ht="12.75">
      <c r="A982" s="82"/>
      <c r="B982" s="83"/>
      <c r="C982" s="83"/>
      <c r="D982" s="85" t="s">
        <v>1227</v>
      </c>
      <c r="G982" s="86" t="s">
        <v>1513</v>
      </c>
      <c r="H982" s="83"/>
      <c r="I982" s="88">
        <v>73.46</v>
      </c>
      <c r="J982" s="83"/>
      <c r="K982" s="83"/>
      <c r="L982" s="83"/>
      <c r="M982" s="83"/>
      <c r="N982" s="80"/>
      <c r="O982" s="67"/>
    </row>
    <row r="983" spans="1:15" ht="12.75">
      <c r="A983" s="3"/>
      <c r="C983" s="12" t="s">
        <v>296</v>
      </c>
      <c r="D983" s="142" t="s">
        <v>877</v>
      </c>
      <c r="E983" s="143"/>
      <c r="F983" s="143"/>
      <c r="G983" s="143"/>
      <c r="H983" s="143"/>
      <c r="I983" s="143"/>
      <c r="J983" s="143"/>
      <c r="K983" s="143"/>
      <c r="L983" s="143"/>
      <c r="M983" s="143"/>
      <c r="N983" s="144"/>
      <c r="O983" s="3"/>
    </row>
    <row r="984" spans="1:64" ht="12.75">
      <c r="A984" s="74" t="s">
        <v>229</v>
      </c>
      <c r="B984" s="74" t="s">
        <v>283</v>
      </c>
      <c r="C984" s="74" t="s">
        <v>527</v>
      </c>
      <c r="D984" s="133" t="s">
        <v>1228</v>
      </c>
      <c r="E984" s="134"/>
      <c r="F984" s="134"/>
      <c r="G984" s="135"/>
      <c r="H984" s="74" t="s">
        <v>1535</v>
      </c>
      <c r="I984" s="75">
        <v>13.072</v>
      </c>
      <c r="J984" s="75">
        <v>0</v>
      </c>
      <c r="K984" s="75">
        <f>I984*AO984</f>
        <v>0</v>
      </c>
      <c r="L984" s="75">
        <f>I984*AP984</f>
        <v>0</v>
      </c>
      <c r="M984" s="75">
        <f>I984*J984</f>
        <v>0</v>
      </c>
      <c r="N984" s="78" t="s">
        <v>1556</v>
      </c>
      <c r="O984" s="67"/>
      <c r="Z984" s="28">
        <f>IF(AQ984="5",BJ984,0)</f>
        <v>0</v>
      </c>
      <c r="AB984" s="28">
        <f>IF(AQ984="1",BH984,0)</f>
        <v>0</v>
      </c>
      <c r="AC984" s="28">
        <f>IF(AQ984="1",BI984,0)</f>
        <v>0</v>
      </c>
      <c r="AD984" s="28">
        <f>IF(AQ984="7",BH984,0)</f>
        <v>0</v>
      </c>
      <c r="AE984" s="28">
        <f>IF(AQ984="7",BI984,0)</f>
        <v>0</v>
      </c>
      <c r="AF984" s="28">
        <f>IF(AQ984="2",BH984,0)</f>
        <v>0</v>
      </c>
      <c r="AG984" s="28">
        <f>IF(AQ984="2",BI984,0)</f>
        <v>0</v>
      </c>
      <c r="AH984" s="28">
        <f>IF(AQ984="0",BJ984,0)</f>
        <v>0</v>
      </c>
      <c r="AI984" s="27" t="s">
        <v>283</v>
      </c>
      <c r="AJ984" s="18">
        <f>IF(AN984=0,M984,0)</f>
        <v>0</v>
      </c>
      <c r="AK984" s="18">
        <f>IF(AN984=15,M984,0)</f>
        <v>0</v>
      </c>
      <c r="AL984" s="18">
        <f>IF(AN984=21,M984,0)</f>
        <v>0</v>
      </c>
      <c r="AN984" s="28">
        <v>15</v>
      </c>
      <c r="AO984" s="28">
        <f>J984*0</f>
        <v>0</v>
      </c>
      <c r="AP984" s="28">
        <f>J984*(1-0)</f>
        <v>0</v>
      </c>
      <c r="AQ984" s="29" t="s">
        <v>7</v>
      </c>
      <c r="AV984" s="28">
        <f>AW984+AX984</f>
        <v>0</v>
      </c>
      <c r="AW984" s="28">
        <f>I984*AO984</f>
        <v>0</v>
      </c>
      <c r="AX984" s="28">
        <f>I984*AP984</f>
        <v>0</v>
      </c>
      <c r="AY984" s="31" t="s">
        <v>1605</v>
      </c>
      <c r="AZ984" s="31" t="s">
        <v>1613</v>
      </c>
      <c r="BA984" s="27" t="s">
        <v>1628</v>
      </c>
      <c r="BC984" s="28">
        <f>AW984+AX984</f>
        <v>0</v>
      </c>
      <c r="BD984" s="28">
        <f>J984/(100-BE984)*100</f>
        <v>0</v>
      </c>
      <c r="BE984" s="28">
        <v>0</v>
      </c>
      <c r="BF984" s="28">
        <f>984</f>
        <v>984</v>
      </c>
      <c r="BH984" s="18">
        <f>I984*AO984</f>
        <v>0</v>
      </c>
      <c r="BI984" s="18">
        <f>I984*AP984</f>
        <v>0</v>
      </c>
      <c r="BJ984" s="18">
        <f>I984*J984</f>
        <v>0</v>
      </c>
      <c r="BK984" s="18" t="s">
        <v>1634</v>
      </c>
      <c r="BL984" s="28">
        <v>96</v>
      </c>
    </row>
    <row r="985" spans="1:15" ht="12.75">
      <c r="A985" s="3"/>
      <c r="D985" s="136" t="s">
        <v>1229</v>
      </c>
      <c r="E985" s="137"/>
      <c r="F985" s="137"/>
      <c r="G985" s="137"/>
      <c r="H985" s="137"/>
      <c r="I985" s="137"/>
      <c r="J985" s="137"/>
      <c r="K985" s="137"/>
      <c r="L985" s="137"/>
      <c r="M985" s="137"/>
      <c r="N985" s="138"/>
      <c r="O985" s="3"/>
    </row>
    <row r="986" spans="1:15" ht="12.75">
      <c r="A986" s="82"/>
      <c r="B986" s="83"/>
      <c r="C986" s="83"/>
      <c r="D986" s="85" t="s">
        <v>1225</v>
      </c>
      <c r="G986" s="86" t="s">
        <v>1512</v>
      </c>
      <c r="H986" s="83"/>
      <c r="I986" s="88">
        <v>13.072</v>
      </c>
      <c r="J986" s="83"/>
      <c r="K986" s="83"/>
      <c r="L986" s="83"/>
      <c r="M986" s="83"/>
      <c r="N986" s="80"/>
      <c r="O986" s="67"/>
    </row>
    <row r="987" spans="1:15" ht="12.75">
      <c r="A987" s="3"/>
      <c r="C987" s="12" t="s">
        <v>296</v>
      </c>
      <c r="D987" s="142" t="s">
        <v>877</v>
      </c>
      <c r="E987" s="143"/>
      <c r="F987" s="143"/>
      <c r="G987" s="143"/>
      <c r="H987" s="143"/>
      <c r="I987" s="143"/>
      <c r="J987" s="143"/>
      <c r="K987" s="143"/>
      <c r="L987" s="143"/>
      <c r="M987" s="143"/>
      <c r="N987" s="144"/>
      <c r="O987" s="3"/>
    </row>
    <row r="988" spans="1:64" ht="12.75">
      <c r="A988" s="74" t="s">
        <v>230</v>
      </c>
      <c r="B988" s="74" t="s">
        <v>283</v>
      </c>
      <c r="C988" s="74" t="s">
        <v>528</v>
      </c>
      <c r="D988" s="133" t="s">
        <v>1230</v>
      </c>
      <c r="E988" s="134"/>
      <c r="F988" s="134"/>
      <c r="G988" s="135"/>
      <c r="H988" s="74" t="s">
        <v>1535</v>
      </c>
      <c r="I988" s="75">
        <v>40.6425</v>
      </c>
      <c r="J988" s="75">
        <v>0</v>
      </c>
      <c r="K988" s="75">
        <f>I988*AO988</f>
        <v>0</v>
      </c>
      <c r="L988" s="75">
        <f>I988*AP988</f>
        <v>0</v>
      </c>
      <c r="M988" s="75">
        <f>I988*J988</f>
        <v>0</v>
      </c>
      <c r="N988" s="78" t="s">
        <v>1556</v>
      </c>
      <c r="O988" s="67"/>
      <c r="Z988" s="28">
        <f>IF(AQ988="5",BJ988,0)</f>
        <v>0</v>
      </c>
      <c r="AB988" s="28">
        <f>IF(AQ988="1",BH988,0)</f>
        <v>0</v>
      </c>
      <c r="AC988" s="28">
        <f>IF(AQ988="1",BI988,0)</f>
        <v>0</v>
      </c>
      <c r="AD988" s="28">
        <f>IF(AQ988="7",BH988,0)</f>
        <v>0</v>
      </c>
      <c r="AE988" s="28">
        <f>IF(AQ988="7",BI988,0)</f>
        <v>0</v>
      </c>
      <c r="AF988" s="28">
        <f>IF(AQ988="2",BH988,0)</f>
        <v>0</v>
      </c>
      <c r="AG988" s="28">
        <f>IF(AQ988="2",BI988,0)</f>
        <v>0</v>
      </c>
      <c r="AH988" s="28">
        <f>IF(AQ988="0",BJ988,0)</f>
        <v>0</v>
      </c>
      <c r="AI988" s="27" t="s">
        <v>283</v>
      </c>
      <c r="AJ988" s="18">
        <f>IF(AN988=0,M988,0)</f>
        <v>0</v>
      </c>
      <c r="AK988" s="18">
        <f>IF(AN988=15,M988,0)</f>
        <v>0</v>
      </c>
      <c r="AL988" s="18">
        <f>IF(AN988=21,M988,0)</f>
        <v>0</v>
      </c>
      <c r="AN988" s="28">
        <v>15</v>
      </c>
      <c r="AO988" s="28">
        <f>J988*0.0431168900057262</f>
        <v>0</v>
      </c>
      <c r="AP988" s="28">
        <f>J988*(1-0.0431168900057262)</f>
        <v>0</v>
      </c>
      <c r="AQ988" s="29" t="s">
        <v>7</v>
      </c>
      <c r="AV988" s="28">
        <f>AW988+AX988</f>
        <v>0</v>
      </c>
      <c r="AW988" s="28">
        <f>I988*AO988</f>
        <v>0</v>
      </c>
      <c r="AX988" s="28">
        <f>I988*AP988</f>
        <v>0</v>
      </c>
      <c r="AY988" s="31" t="s">
        <v>1605</v>
      </c>
      <c r="AZ988" s="31" t="s">
        <v>1613</v>
      </c>
      <c r="BA988" s="27" t="s">
        <v>1628</v>
      </c>
      <c r="BC988" s="28">
        <f>AW988+AX988</f>
        <v>0</v>
      </c>
      <c r="BD988" s="28">
        <f>J988/(100-BE988)*100</f>
        <v>0</v>
      </c>
      <c r="BE988" s="28">
        <v>0</v>
      </c>
      <c r="BF988" s="28">
        <f>988</f>
        <v>988</v>
      </c>
      <c r="BH988" s="18">
        <f>I988*AO988</f>
        <v>0</v>
      </c>
      <c r="BI988" s="18">
        <f>I988*AP988</f>
        <v>0</v>
      </c>
      <c r="BJ988" s="18">
        <f>I988*J988</f>
        <v>0</v>
      </c>
      <c r="BK988" s="18" t="s">
        <v>1634</v>
      </c>
      <c r="BL988" s="28">
        <v>96</v>
      </c>
    </row>
    <row r="989" spans="1:15" ht="12.75">
      <c r="A989" s="3"/>
      <c r="D989" s="136" t="s">
        <v>1231</v>
      </c>
      <c r="E989" s="137"/>
      <c r="F989" s="137"/>
      <c r="G989" s="137"/>
      <c r="H989" s="137"/>
      <c r="I989" s="137"/>
      <c r="J989" s="137"/>
      <c r="K989" s="137"/>
      <c r="L989" s="137"/>
      <c r="M989" s="137"/>
      <c r="N989" s="138"/>
      <c r="O989" s="3"/>
    </row>
    <row r="990" spans="1:15" ht="12.75">
      <c r="A990" s="89"/>
      <c r="B990" s="90"/>
      <c r="C990" s="90"/>
      <c r="D990" s="84" t="s">
        <v>1232</v>
      </c>
      <c r="G990" s="91" t="s">
        <v>1335</v>
      </c>
      <c r="H990" s="90"/>
      <c r="I990" s="92">
        <v>32.7325</v>
      </c>
      <c r="J990" s="90"/>
      <c r="K990" s="90"/>
      <c r="L990" s="90"/>
      <c r="M990" s="90"/>
      <c r="N990" s="79"/>
      <c r="O990" s="67"/>
    </row>
    <row r="991" spans="1:15" ht="12.75">
      <c r="A991" s="82"/>
      <c r="B991" s="83"/>
      <c r="C991" s="83"/>
      <c r="D991" s="85" t="s">
        <v>659</v>
      </c>
      <c r="G991" s="86" t="s">
        <v>1371</v>
      </c>
      <c r="H991" s="83"/>
      <c r="I991" s="88">
        <v>7.91</v>
      </c>
      <c r="J991" s="83"/>
      <c r="K991" s="83"/>
      <c r="L991" s="83"/>
      <c r="M991" s="83"/>
      <c r="N991" s="80"/>
      <c r="O991" s="67"/>
    </row>
    <row r="992" spans="1:15" ht="12.75">
      <c r="A992" s="3"/>
      <c r="C992" s="12" t="s">
        <v>296</v>
      </c>
      <c r="D992" s="142" t="s">
        <v>877</v>
      </c>
      <c r="E992" s="143"/>
      <c r="F992" s="143"/>
      <c r="G992" s="143"/>
      <c r="H992" s="143"/>
      <c r="I992" s="143"/>
      <c r="J992" s="143"/>
      <c r="K992" s="143"/>
      <c r="L992" s="143"/>
      <c r="M992" s="143"/>
      <c r="N992" s="144"/>
      <c r="O992" s="3"/>
    </row>
    <row r="993" spans="1:64" ht="12.75">
      <c r="A993" s="81" t="s">
        <v>231</v>
      </c>
      <c r="B993" s="81" t="s">
        <v>283</v>
      </c>
      <c r="C993" s="81" t="s">
        <v>529</v>
      </c>
      <c r="D993" s="139" t="s">
        <v>1233</v>
      </c>
      <c r="E993" s="134"/>
      <c r="F993" s="134"/>
      <c r="G993" s="140"/>
      <c r="H993" s="81" t="s">
        <v>1538</v>
      </c>
      <c r="I993" s="87">
        <v>90</v>
      </c>
      <c r="J993" s="87">
        <v>0</v>
      </c>
      <c r="K993" s="87">
        <f>I993*AO993</f>
        <v>0</v>
      </c>
      <c r="L993" s="87">
        <f>I993*AP993</f>
        <v>0</v>
      </c>
      <c r="M993" s="87">
        <f>I993*J993</f>
        <v>0</v>
      </c>
      <c r="N993" s="77" t="s">
        <v>1556</v>
      </c>
      <c r="O993" s="67"/>
      <c r="Z993" s="28">
        <f>IF(AQ993="5",BJ993,0)</f>
        <v>0</v>
      </c>
      <c r="AB993" s="28">
        <f>IF(AQ993="1",BH993,0)</f>
        <v>0</v>
      </c>
      <c r="AC993" s="28">
        <f>IF(AQ993="1",BI993,0)</f>
        <v>0</v>
      </c>
      <c r="AD993" s="28">
        <f>IF(AQ993="7",BH993,0)</f>
        <v>0</v>
      </c>
      <c r="AE993" s="28">
        <f>IF(AQ993="7",BI993,0)</f>
        <v>0</v>
      </c>
      <c r="AF993" s="28">
        <f>IF(AQ993="2",BH993,0)</f>
        <v>0</v>
      </c>
      <c r="AG993" s="28">
        <f>IF(AQ993="2",BI993,0)</f>
        <v>0</v>
      </c>
      <c r="AH993" s="28">
        <f>IF(AQ993="0",BJ993,0)</f>
        <v>0</v>
      </c>
      <c r="AI993" s="27" t="s">
        <v>283</v>
      </c>
      <c r="AJ993" s="18">
        <f>IF(AN993=0,M993,0)</f>
        <v>0</v>
      </c>
      <c r="AK993" s="18">
        <f>IF(AN993=15,M993,0)</f>
        <v>0</v>
      </c>
      <c r="AL993" s="18">
        <f>IF(AN993=21,M993,0)</f>
        <v>0</v>
      </c>
      <c r="AN993" s="28">
        <v>15</v>
      </c>
      <c r="AO993" s="28">
        <f>J993*0</f>
        <v>0</v>
      </c>
      <c r="AP993" s="28">
        <f>J993*(1-0)</f>
        <v>0</v>
      </c>
      <c r="AQ993" s="29" t="s">
        <v>7</v>
      </c>
      <c r="AV993" s="28">
        <f>AW993+AX993</f>
        <v>0</v>
      </c>
      <c r="AW993" s="28">
        <f>I993*AO993</f>
        <v>0</v>
      </c>
      <c r="AX993" s="28">
        <f>I993*AP993</f>
        <v>0</v>
      </c>
      <c r="AY993" s="31" t="s">
        <v>1605</v>
      </c>
      <c r="AZ993" s="31" t="s">
        <v>1613</v>
      </c>
      <c r="BA993" s="27" t="s">
        <v>1628</v>
      </c>
      <c r="BC993" s="28">
        <f>AW993+AX993</f>
        <v>0</v>
      </c>
      <c r="BD993" s="28">
        <f>J993/(100-BE993)*100</f>
        <v>0</v>
      </c>
      <c r="BE993" s="28">
        <v>0</v>
      </c>
      <c r="BF993" s="28">
        <f>993</f>
        <v>993</v>
      </c>
      <c r="BH993" s="18">
        <f>I993*AO993</f>
        <v>0</v>
      </c>
      <c r="BI993" s="18">
        <f>I993*AP993</f>
        <v>0</v>
      </c>
      <c r="BJ993" s="18">
        <f>I993*J993</f>
        <v>0</v>
      </c>
      <c r="BK993" s="18" t="s">
        <v>1634</v>
      </c>
      <c r="BL993" s="28">
        <v>96</v>
      </c>
    </row>
    <row r="994" spans="1:15" ht="12.75">
      <c r="A994" s="89"/>
      <c r="B994" s="90"/>
      <c r="C994" s="90"/>
      <c r="D994" s="84" t="s">
        <v>1234</v>
      </c>
      <c r="G994" s="91" t="s">
        <v>1514</v>
      </c>
      <c r="H994" s="90"/>
      <c r="I994" s="92">
        <v>62</v>
      </c>
      <c r="J994" s="90"/>
      <c r="K994" s="90"/>
      <c r="L994" s="90"/>
      <c r="M994" s="90"/>
      <c r="N994" s="79"/>
      <c r="O994" s="67"/>
    </row>
    <row r="995" spans="1:15" ht="12.75">
      <c r="A995" s="82"/>
      <c r="B995" s="83"/>
      <c r="C995" s="83"/>
      <c r="D995" s="85" t="s">
        <v>34</v>
      </c>
      <c r="G995" s="86" t="s">
        <v>1515</v>
      </c>
      <c r="H995" s="83"/>
      <c r="I995" s="88">
        <v>28</v>
      </c>
      <c r="J995" s="83"/>
      <c r="K995" s="83"/>
      <c r="L995" s="83"/>
      <c r="M995" s="83"/>
      <c r="N995" s="80"/>
      <c r="O995" s="67"/>
    </row>
    <row r="996" spans="1:15" ht="12.75">
      <c r="A996" s="3"/>
      <c r="C996" s="13" t="s">
        <v>302</v>
      </c>
      <c r="D996" s="145" t="s">
        <v>1235</v>
      </c>
      <c r="E996" s="146"/>
      <c r="F996" s="146"/>
      <c r="G996" s="146"/>
      <c r="H996" s="146"/>
      <c r="I996" s="146"/>
      <c r="J996" s="146"/>
      <c r="K996" s="146"/>
      <c r="L996" s="146"/>
      <c r="M996" s="146"/>
      <c r="N996" s="147"/>
      <c r="O996" s="3"/>
    </row>
    <row r="997" spans="1:15" ht="12.75">
      <c r="A997" s="3"/>
      <c r="C997" s="12" t="s">
        <v>296</v>
      </c>
      <c r="D997" s="142" t="s">
        <v>877</v>
      </c>
      <c r="E997" s="143"/>
      <c r="F997" s="143"/>
      <c r="G997" s="143"/>
      <c r="H997" s="143"/>
      <c r="I997" s="143"/>
      <c r="J997" s="143"/>
      <c r="K997" s="143"/>
      <c r="L997" s="143"/>
      <c r="M997" s="143"/>
      <c r="N997" s="144"/>
      <c r="O997" s="3"/>
    </row>
    <row r="998" spans="1:64" ht="12.75">
      <c r="A998" s="81" t="s">
        <v>232</v>
      </c>
      <c r="B998" s="81" t="s">
        <v>283</v>
      </c>
      <c r="C998" s="81" t="s">
        <v>530</v>
      </c>
      <c r="D998" s="139" t="s">
        <v>1236</v>
      </c>
      <c r="E998" s="134"/>
      <c r="F998" s="134"/>
      <c r="G998" s="140"/>
      <c r="H998" s="81" t="s">
        <v>1535</v>
      </c>
      <c r="I998" s="87">
        <v>57.96</v>
      </c>
      <c r="J998" s="87">
        <v>0</v>
      </c>
      <c r="K998" s="87">
        <f>I998*AO998</f>
        <v>0</v>
      </c>
      <c r="L998" s="87">
        <f>I998*AP998</f>
        <v>0</v>
      </c>
      <c r="M998" s="87">
        <f>I998*J998</f>
        <v>0</v>
      </c>
      <c r="N998" s="77" t="s">
        <v>1556</v>
      </c>
      <c r="O998" s="67"/>
      <c r="Z998" s="28">
        <f>IF(AQ998="5",BJ998,0)</f>
        <v>0</v>
      </c>
      <c r="AB998" s="28">
        <f>IF(AQ998="1",BH998,0)</f>
        <v>0</v>
      </c>
      <c r="AC998" s="28">
        <f>IF(AQ998="1",BI998,0)</f>
        <v>0</v>
      </c>
      <c r="AD998" s="28">
        <f>IF(AQ998="7",BH998,0)</f>
        <v>0</v>
      </c>
      <c r="AE998" s="28">
        <f>IF(AQ998="7",BI998,0)</f>
        <v>0</v>
      </c>
      <c r="AF998" s="28">
        <f>IF(AQ998="2",BH998,0)</f>
        <v>0</v>
      </c>
      <c r="AG998" s="28">
        <f>IF(AQ998="2",BI998,0)</f>
        <v>0</v>
      </c>
      <c r="AH998" s="28">
        <f>IF(AQ998="0",BJ998,0)</f>
        <v>0</v>
      </c>
      <c r="AI998" s="27" t="s">
        <v>283</v>
      </c>
      <c r="AJ998" s="18">
        <f>IF(AN998=0,M998,0)</f>
        <v>0</v>
      </c>
      <c r="AK998" s="18">
        <f>IF(AN998=15,M998,0)</f>
        <v>0</v>
      </c>
      <c r="AL998" s="18">
        <f>IF(AN998=21,M998,0)</f>
        <v>0</v>
      </c>
      <c r="AN998" s="28">
        <v>15</v>
      </c>
      <c r="AO998" s="28">
        <f>J998*0.154892307692308</f>
        <v>0</v>
      </c>
      <c r="AP998" s="28">
        <f>J998*(1-0.154892307692308)</f>
        <v>0</v>
      </c>
      <c r="AQ998" s="29" t="s">
        <v>7</v>
      </c>
      <c r="AV998" s="28">
        <f>AW998+AX998</f>
        <v>0</v>
      </c>
      <c r="AW998" s="28">
        <f>I998*AO998</f>
        <v>0</v>
      </c>
      <c r="AX998" s="28">
        <f>I998*AP998</f>
        <v>0</v>
      </c>
      <c r="AY998" s="31" t="s">
        <v>1605</v>
      </c>
      <c r="AZ998" s="31" t="s">
        <v>1613</v>
      </c>
      <c r="BA998" s="27" t="s">
        <v>1628</v>
      </c>
      <c r="BC998" s="28">
        <f>AW998+AX998</f>
        <v>0</v>
      </c>
      <c r="BD998" s="28">
        <f>J998/(100-BE998)*100</f>
        <v>0</v>
      </c>
      <c r="BE998" s="28">
        <v>0</v>
      </c>
      <c r="BF998" s="28">
        <f>998</f>
        <v>998</v>
      </c>
      <c r="BH998" s="18">
        <f>I998*AO998</f>
        <v>0</v>
      </c>
      <c r="BI998" s="18">
        <f>I998*AP998</f>
        <v>0</v>
      </c>
      <c r="BJ998" s="18">
        <f>I998*J998</f>
        <v>0</v>
      </c>
      <c r="BK998" s="18" t="s">
        <v>1634</v>
      </c>
      <c r="BL998" s="28">
        <v>96</v>
      </c>
    </row>
    <row r="999" spans="1:15" ht="12.75">
      <c r="A999" s="89"/>
      <c r="B999" s="90"/>
      <c r="C999" s="90"/>
      <c r="D999" s="84" t="s">
        <v>1237</v>
      </c>
      <c r="G999" s="91" t="s">
        <v>1516</v>
      </c>
      <c r="H999" s="90"/>
      <c r="I999" s="92">
        <v>37.44</v>
      </c>
      <c r="J999" s="90"/>
      <c r="K999" s="90"/>
      <c r="L999" s="90"/>
      <c r="M999" s="90"/>
      <c r="N999" s="79"/>
      <c r="O999" s="67"/>
    </row>
    <row r="1000" spans="1:15" ht="12.75">
      <c r="A1000" s="82"/>
      <c r="B1000" s="83"/>
      <c r="C1000" s="83"/>
      <c r="D1000" s="85" t="s">
        <v>1238</v>
      </c>
      <c r="G1000" s="86" t="s">
        <v>1517</v>
      </c>
      <c r="H1000" s="83"/>
      <c r="I1000" s="88">
        <v>20.52</v>
      </c>
      <c r="J1000" s="83"/>
      <c r="K1000" s="83"/>
      <c r="L1000" s="83"/>
      <c r="M1000" s="83"/>
      <c r="N1000" s="80"/>
      <c r="O1000" s="67"/>
    </row>
    <row r="1001" spans="1:15" ht="12.75">
      <c r="A1001" s="3"/>
      <c r="C1001" s="13" t="s">
        <v>302</v>
      </c>
      <c r="D1001" s="145" t="s">
        <v>1239</v>
      </c>
      <c r="E1001" s="146"/>
      <c r="F1001" s="146"/>
      <c r="G1001" s="146"/>
      <c r="H1001" s="146"/>
      <c r="I1001" s="146"/>
      <c r="J1001" s="146"/>
      <c r="K1001" s="146"/>
      <c r="L1001" s="146"/>
      <c r="M1001" s="146"/>
      <c r="N1001" s="147"/>
      <c r="O1001" s="3"/>
    </row>
    <row r="1002" spans="1:15" ht="12.75">
      <c r="A1002" s="3"/>
      <c r="C1002" s="12" t="s">
        <v>296</v>
      </c>
      <c r="D1002" s="142" t="s">
        <v>877</v>
      </c>
      <c r="E1002" s="143"/>
      <c r="F1002" s="143"/>
      <c r="G1002" s="143"/>
      <c r="H1002" s="143"/>
      <c r="I1002" s="143"/>
      <c r="J1002" s="143"/>
      <c r="K1002" s="143"/>
      <c r="L1002" s="143"/>
      <c r="M1002" s="143"/>
      <c r="N1002" s="144"/>
      <c r="O1002" s="3"/>
    </row>
    <row r="1003" spans="1:64" ht="12.75">
      <c r="A1003" s="81" t="s">
        <v>233</v>
      </c>
      <c r="B1003" s="81" t="s">
        <v>283</v>
      </c>
      <c r="C1003" s="81" t="s">
        <v>531</v>
      </c>
      <c r="D1003" s="139" t="s">
        <v>1240</v>
      </c>
      <c r="E1003" s="134"/>
      <c r="F1003" s="134"/>
      <c r="G1003" s="140"/>
      <c r="H1003" s="81" t="s">
        <v>1535</v>
      </c>
      <c r="I1003" s="87">
        <v>1.44</v>
      </c>
      <c r="J1003" s="87">
        <v>0</v>
      </c>
      <c r="K1003" s="87">
        <f>I1003*AO1003</f>
        <v>0</v>
      </c>
      <c r="L1003" s="87">
        <f>I1003*AP1003</f>
        <v>0</v>
      </c>
      <c r="M1003" s="87">
        <f>I1003*J1003</f>
        <v>0</v>
      </c>
      <c r="N1003" s="77" t="s">
        <v>1556</v>
      </c>
      <c r="O1003" s="67"/>
      <c r="Z1003" s="28">
        <f>IF(AQ1003="5",BJ1003,0)</f>
        <v>0</v>
      </c>
      <c r="AB1003" s="28">
        <f>IF(AQ1003="1",BH1003,0)</f>
        <v>0</v>
      </c>
      <c r="AC1003" s="28">
        <f>IF(AQ1003="1",BI1003,0)</f>
        <v>0</v>
      </c>
      <c r="AD1003" s="28">
        <f>IF(AQ1003="7",BH1003,0)</f>
        <v>0</v>
      </c>
      <c r="AE1003" s="28">
        <f>IF(AQ1003="7",BI1003,0)</f>
        <v>0</v>
      </c>
      <c r="AF1003" s="28">
        <f>IF(AQ1003="2",BH1003,0)</f>
        <v>0</v>
      </c>
      <c r="AG1003" s="28">
        <f>IF(AQ1003="2",BI1003,0)</f>
        <v>0</v>
      </c>
      <c r="AH1003" s="28">
        <f>IF(AQ1003="0",BJ1003,0)</f>
        <v>0</v>
      </c>
      <c r="AI1003" s="27" t="s">
        <v>283</v>
      </c>
      <c r="AJ1003" s="18">
        <f>IF(AN1003=0,M1003,0)</f>
        <v>0</v>
      </c>
      <c r="AK1003" s="18">
        <f>IF(AN1003=15,M1003,0)</f>
        <v>0</v>
      </c>
      <c r="AL1003" s="18">
        <f>IF(AN1003=21,M1003,0)</f>
        <v>0</v>
      </c>
      <c r="AN1003" s="28">
        <v>15</v>
      </c>
      <c r="AO1003" s="28">
        <f>J1003*0.201675774134791</f>
        <v>0</v>
      </c>
      <c r="AP1003" s="28">
        <f>J1003*(1-0.201675774134791)</f>
        <v>0</v>
      </c>
      <c r="AQ1003" s="29" t="s">
        <v>7</v>
      </c>
      <c r="AV1003" s="28">
        <f>AW1003+AX1003</f>
        <v>0</v>
      </c>
      <c r="AW1003" s="28">
        <f>I1003*AO1003</f>
        <v>0</v>
      </c>
      <c r="AX1003" s="28">
        <f>I1003*AP1003</f>
        <v>0</v>
      </c>
      <c r="AY1003" s="31" t="s">
        <v>1605</v>
      </c>
      <c r="AZ1003" s="31" t="s">
        <v>1613</v>
      </c>
      <c r="BA1003" s="27" t="s">
        <v>1628</v>
      </c>
      <c r="BC1003" s="28">
        <f>AW1003+AX1003</f>
        <v>0</v>
      </c>
      <c r="BD1003" s="28">
        <f>J1003/(100-BE1003)*100</f>
        <v>0</v>
      </c>
      <c r="BE1003" s="28">
        <v>0</v>
      </c>
      <c r="BF1003" s="28">
        <f>1003</f>
        <v>1003</v>
      </c>
      <c r="BH1003" s="18">
        <f>I1003*AO1003</f>
        <v>0</v>
      </c>
      <c r="BI1003" s="18">
        <f>I1003*AP1003</f>
        <v>0</v>
      </c>
      <c r="BJ1003" s="18">
        <f>I1003*J1003</f>
        <v>0</v>
      </c>
      <c r="BK1003" s="18" t="s">
        <v>1634</v>
      </c>
      <c r="BL1003" s="28">
        <v>96</v>
      </c>
    </row>
    <row r="1004" spans="1:15" ht="12.75">
      <c r="A1004" s="82"/>
      <c r="B1004" s="83"/>
      <c r="C1004" s="83"/>
      <c r="D1004" s="85" t="s">
        <v>1241</v>
      </c>
      <c r="G1004" s="86" t="s">
        <v>1518</v>
      </c>
      <c r="H1004" s="83"/>
      <c r="I1004" s="88">
        <v>1.44</v>
      </c>
      <c r="J1004" s="83"/>
      <c r="K1004" s="83"/>
      <c r="L1004" s="83"/>
      <c r="M1004" s="83"/>
      <c r="N1004" s="80"/>
      <c r="O1004" s="67"/>
    </row>
    <row r="1005" spans="1:15" ht="12.75">
      <c r="A1005" s="3"/>
      <c r="C1005" s="13" t="s">
        <v>302</v>
      </c>
      <c r="D1005" s="145" t="s">
        <v>1239</v>
      </c>
      <c r="E1005" s="146"/>
      <c r="F1005" s="146"/>
      <c r="G1005" s="146"/>
      <c r="H1005" s="146"/>
      <c r="I1005" s="146"/>
      <c r="J1005" s="146"/>
      <c r="K1005" s="146"/>
      <c r="L1005" s="146"/>
      <c r="M1005" s="146"/>
      <c r="N1005" s="147"/>
      <c r="O1005" s="3"/>
    </row>
    <row r="1006" spans="1:15" ht="12.75">
      <c r="A1006" s="3"/>
      <c r="C1006" s="12" t="s">
        <v>296</v>
      </c>
      <c r="D1006" s="142" t="s">
        <v>877</v>
      </c>
      <c r="E1006" s="143"/>
      <c r="F1006" s="143"/>
      <c r="G1006" s="143"/>
      <c r="H1006" s="143"/>
      <c r="I1006" s="143"/>
      <c r="J1006" s="143"/>
      <c r="K1006" s="143"/>
      <c r="L1006" s="143"/>
      <c r="M1006" s="143"/>
      <c r="N1006" s="144"/>
      <c r="O1006" s="3"/>
    </row>
    <row r="1007" spans="1:64" ht="12.75">
      <c r="A1007" s="81" t="s">
        <v>234</v>
      </c>
      <c r="B1007" s="81" t="s">
        <v>283</v>
      </c>
      <c r="C1007" s="81" t="s">
        <v>532</v>
      </c>
      <c r="D1007" s="139" t="s">
        <v>1242</v>
      </c>
      <c r="E1007" s="134"/>
      <c r="F1007" s="134"/>
      <c r="G1007" s="140"/>
      <c r="H1007" s="81" t="s">
        <v>1535</v>
      </c>
      <c r="I1007" s="87">
        <v>7.3725</v>
      </c>
      <c r="J1007" s="87">
        <v>0</v>
      </c>
      <c r="K1007" s="87">
        <f>I1007*AO1007</f>
        <v>0</v>
      </c>
      <c r="L1007" s="87">
        <f>I1007*AP1007</f>
        <v>0</v>
      </c>
      <c r="M1007" s="87">
        <f>I1007*J1007</f>
        <v>0</v>
      </c>
      <c r="N1007" s="77" t="s">
        <v>1556</v>
      </c>
      <c r="O1007" s="67"/>
      <c r="Z1007" s="28">
        <f>IF(AQ1007="5",BJ1007,0)</f>
        <v>0</v>
      </c>
      <c r="AB1007" s="28">
        <f>IF(AQ1007="1",BH1007,0)</f>
        <v>0</v>
      </c>
      <c r="AC1007" s="28">
        <f>IF(AQ1007="1",BI1007,0)</f>
        <v>0</v>
      </c>
      <c r="AD1007" s="28">
        <f>IF(AQ1007="7",BH1007,0)</f>
        <v>0</v>
      </c>
      <c r="AE1007" s="28">
        <f>IF(AQ1007="7",BI1007,0)</f>
        <v>0</v>
      </c>
      <c r="AF1007" s="28">
        <f>IF(AQ1007="2",BH1007,0)</f>
        <v>0</v>
      </c>
      <c r="AG1007" s="28">
        <f>IF(AQ1007="2",BI1007,0)</f>
        <v>0</v>
      </c>
      <c r="AH1007" s="28">
        <f>IF(AQ1007="0",BJ1007,0)</f>
        <v>0</v>
      </c>
      <c r="AI1007" s="27" t="s">
        <v>283</v>
      </c>
      <c r="AJ1007" s="18">
        <f>IF(AN1007=0,M1007,0)</f>
        <v>0</v>
      </c>
      <c r="AK1007" s="18">
        <f>IF(AN1007=15,M1007,0)</f>
        <v>0</v>
      </c>
      <c r="AL1007" s="18">
        <f>IF(AN1007=21,M1007,0)</f>
        <v>0</v>
      </c>
      <c r="AN1007" s="28">
        <v>15</v>
      </c>
      <c r="AO1007" s="28">
        <f>J1007*0.1740605941624</f>
        <v>0</v>
      </c>
      <c r="AP1007" s="28">
        <f>J1007*(1-0.1740605941624)</f>
        <v>0</v>
      </c>
      <c r="AQ1007" s="29" t="s">
        <v>7</v>
      </c>
      <c r="AV1007" s="28">
        <f>AW1007+AX1007</f>
        <v>0</v>
      </c>
      <c r="AW1007" s="28">
        <f>I1007*AO1007</f>
        <v>0</v>
      </c>
      <c r="AX1007" s="28">
        <f>I1007*AP1007</f>
        <v>0</v>
      </c>
      <c r="AY1007" s="31" t="s">
        <v>1605</v>
      </c>
      <c r="AZ1007" s="31" t="s">
        <v>1613</v>
      </c>
      <c r="BA1007" s="27" t="s">
        <v>1628</v>
      </c>
      <c r="BC1007" s="28">
        <f>AW1007+AX1007</f>
        <v>0</v>
      </c>
      <c r="BD1007" s="28">
        <f>J1007/(100-BE1007)*100</f>
        <v>0</v>
      </c>
      <c r="BE1007" s="28">
        <v>0</v>
      </c>
      <c r="BF1007" s="28">
        <f>1007</f>
        <v>1007</v>
      </c>
      <c r="BH1007" s="18">
        <f>I1007*AO1007</f>
        <v>0</v>
      </c>
      <c r="BI1007" s="18">
        <f>I1007*AP1007</f>
        <v>0</v>
      </c>
      <c r="BJ1007" s="18">
        <f>I1007*J1007</f>
        <v>0</v>
      </c>
      <c r="BK1007" s="18" t="s">
        <v>1634</v>
      </c>
      <c r="BL1007" s="28">
        <v>96</v>
      </c>
    </row>
    <row r="1008" spans="1:15" ht="12.75">
      <c r="A1008" s="82"/>
      <c r="B1008" s="83"/>
      <c r="C1008" s="83"/>
      <c r="D1008" s="85" t="s">
        <v>1243</v>
      </c>
      <c r="G1008" s="86" t="s">
        <v>1434</v>
      </c>
      <c r="H1008" s="83"/>
      <c r="I1008" s="88">
        <v>7.3725</v>
      </c>
      <c r="J1008" s="83"/>
      <c r="K1008" s="83"/>
      <c r="L1008" s="83"/>
      <c r="M1008" s="83"/>
      <c r="N1008" s="80"/>
      <c r="O1008" s="67"/>
    </row>
    <row r="1009" spans="1:15" ht="12.75">
      <c r="A1009" s="3"/>
      <c r="C1009" s="13" t="s">
        <v>302</v>
      </c>
      <c r="D1009" s="145" t="s">
        <v>1239</v>
      </c>
      <c r="E1009" s="146"/>
      <c r="F1009" s="146"/>
      <c r="G1009" s="146"/>
      <c r="H1009" s="146"/>
      <c r="I1009" s="146"/>
      <c r="J1009" s="146"/>
      <c r="K1009" s="146"/>
      <c r="L1009" s="146"/>
      <c r="M1009" s="146"/>
      <c r="N1009" s="147"/>
      <c r="O1009" s="3"/>
    </row>
    <row r="1010" spans="1:15" ht="12.75">
      <c r="A1010" s="3"/>
      <c r="C1010" s="12" t="s">
        <v>296</v>
      </c>
      <c r="D1010" s="142" t="s">
        <v>877</v>
      </c>
      <c r="E1010" s="143"/>
      <c r="F1010" s="143"/>
      <c r="G1010" s="143"/>
      <c r="H1010" s="143"/>
      <c r="I1010" s="143"/>
      <c r="J1010" s="143"/>
      <c r="K1010" s="143"/>
      <c r="L1010" s="143"/>
      <c r="M1010" s="143"/>
      <c r="N1010" s="144"/>
      <c r="O1010" s="3"/>
    </row>
    <row r="1011" spans="1:64" ht="12.75">
      <c r="A1011" s="81" t="s">
        <v>235</v>
      </c>
      <c r="B1011" s="81" t="s">
        <v>283</v>
      </c>
      <c r="C1011" s="81" t="s">
        <v>533</v>
      </c>
      <c r="D1011" s="139" t="s">
        <v>1244</v>
      </c>
      <c r="E1011" s="134"/>
      <c r="F1011" s="134"/>
      <c r="G1011" s="140"/>
      <c r="H1011" s="81" t="s">
        <v>1535</v>
      </c>
      <c r="I1011" s="87">
        <v>37.8</v>
      </c>
      <c r="J1011" s="87">
        <v>0</v>
      </c>
      <c r="K1011" s="87">
        <f>I1011*AO1011</f>
        <v>0</v>
      </c>
      <c r="L1011" s="87">
        <f>I1011*AP1011</f>
        <v>0</v>
      </c>
      <c r="M1011" s="87">
        <f>I1011*J1011</f>
        <v>0</v>
      </c>
      <c r="N1011" s="77" t="s">
        <v>1556</v>
      </c>
      <c r="O1011" s="67"/>
      <c r="Z1011" s="28">
        <f>IF(AQ1011="5",BJ1011,0)</f>
        <v>0</v>
      </c>
      <c r="AB1011" s="28">
        <f>IF(AQ1011="1",BH1011,0)</f>
        <v>0</v>
      </c>
      <c r="AC1011" s="28">
        <f>IF(AQ1011="1",BI1011,0)</f>
        <v>0</v>
      </c>
      <c r="AD1011" s="28">
        <f>IF(AQ1011="7",BH1011,0)</f>
        <v>0</v>
      </c>
      <c r="AE1011" s="28">
        <f>IF(AQ1011="7",BI1011,0)</f>
        <v>0</v>
      </c>
      <c r="AF1011" s="28">
        <f>IF(AQ1011="2",BH1011,0)</f>
        <v>0</v>
      </c>
      <c r="AG1011" s="28">
        <f>IF(AQ1011="2",BI1011,0)</f>
        <v>0</v>
      </c>
      <c r="AH1011" s="28">
        <f>IF(AQ1011="0",BJ1011,0)</f>
        <v>0</v>
      </c>
      <c r="AI1011" s="27" t="s">
        <v>283</v>
      </c>
      <c r="AJ1011" s="18">
        <f>IF(AN1011=0,M1011,0)</f>
        <v>0</v>
      </c>
      <c r="AK1011" s="18">
        <f>IF(AN1011=15,M1011,0)</f>
        <v>0</v>
      </c>
      <c r="AL1011" s="18">
        <f>IF(AN1011=21,M1011,0)</f>
        <v>0</v>
      </c>
      <c r="AN1011" s="28">
        <v>15</v>
      </c>
      <c r="AO1011" s="28">
        <f>J1011*0.187027027027027</f>
        <v>0</v>
      </c>
      <c r="AP1011" s="28">
        <f>J1011*(1-0.187027027027027)</f>
        <v>0</v>
      </c>
      <c r="AQ1011" s="29" t="s">
        <v>7</v>
      </c>
      <c r="AV1011" s="28">
        <f>AW1011+AX1011</f>
        <v>0</v>
      </c>
      <c r="AW1011" s="28">
        <f>I1011*AO1011</f>
        <v>0</v>
      </c>
      <c r="AX1011" s="28">
        <f>I1011*AP1011</f>
        <v>0</v>
      </c>
      <c r="AY1011" s="31" t="s">
        <v>1605</v>
      </c>
      <c r="AZ1011" s="31" t="s">
        <v>1613</v>
      </c>
      <c r="BA1011" s="27" t="s">
        <v>1628</v>
      </c>
      <c r="BC1011" s="28">
        <f>AW1011+AX1011</f>
        <v>0</v>
      </c>
      <c r="BD1011" s="28">
        <f>J1011/(100-BE1011)*100</f>
        <v>0</v>
      </c>
      <c r="BE1011" s="28">
        <v>0</v>
      </c>
      <c r="BF1011" s="28">
        <f>1011</f>
        <v>1011</v>
      </c>
      <c r="BH1011" s="18">
        <f>I1011*AO1011</f>
        <v>0</v>
      </c>
      <c r="BI1011" s="18">
        <f>I1011*AP1011</f>
        <v>0</v>
      </c>
      <c r="BJ1011" s="18">
        <f>I1011*J1011</f>
        <v>0</v>
      </c>
      <c r="BK1011" s="18" t="s">
        <v>1634</v>
      </c>
      <c r="BL1011" s="28">
        <v>96</v>
      </c>
    </row>
    <row r="1012" spans="1:15" ht="12.75">
      <c r="A1012" s="82"/>
      <c r="B1012" s="83"/>
      <c r="C1012" s="83"/>
      <c r="D1012" s="85" t="s">
        <v>1245</v>
      </c>
      <c r="G1012" s="86" t="s">
        <v>1518</v>
      </c>
      <c r="H1012" s="83"/>
      <c r="I1012" s="88">
        <v>37.8</v>
      </c>
      <c r="J1012" s="83"/>
      <c r="K1012" s="83"/>
      <c r="L1012" s="83"/>
      <c r="M1012" s="83"/>
      <c r="N1012" s="80"/>
      <c r="O1012" s="67"/>
    </row>
    <row r="1013" spans="1:15" ht="12.75">
      <c r="A1013" s="3"/>
      <c r="C1013" s="13" t="s">
        <v>302</v>
      </c>
      <c r="D1013" s="145" t="s">
        <v>1239</v>
      </c>
      <c r="E1013" s="146"/>
      <c r="F1013" s="146"/>
      <c r="G1013" s="146"/>
      <c r="H1013" s="146"/>
      <c r="I1013" s="146"/>
      <c r="J1013" s="146"/>
      <c r="K1013" s="146"/>
      <c r="L1013" s="146"/>
      <c r="M1013" s="146"/>
      <c r="N1013" s="147"/>
      <c r="O1013" s="3"/>
    </row>
    <row r="1014" spans="1:15" ht="12.75">
      <c r="A1014" s="3"/>
      <c r="C1014" s="12" t="s">
        <v>296</v>
      </c>
      <c r="D1014" s="142" t="s">
        <v>877</v>
      </c>
      <c r="E1014" s="143"/>
      <c r="F1014" s="143"/>
      <c r="G1014" s="143"/>
      <c r="H1014" s="143"/>
      <c r="I1014" s="143"/>
      <c r="J1014" s="143"/>
      <c r="K1014" s="143"/>
      <c r="L1014" s="143"/>
      <c r="M1014" s="143"/>
      <c r="N1014" s="144"/>
      <c r="O1014" s="3"/>
    </row>
    <row r="1015" spans="1:64" ht="12.75">
      <c r="A1015" s="81" t="s">
        <v>236</v>
      </c>
      <c r="B1015" s="81" t="s">
        <v>283</v>
      </c>
      <c r="C1015" s="81" t="s">
        <v>534</v>
      </c>
      <c r="D1015" s="139" t="s">
        <v>1246</v>
      </c>
      <c r="E1015" s="134"/>
      <c r="F1015" s="134"/>
      <c r="G1015" s="140"/>
      <c r="H1015" s="81" t="s">
        <v>1539</v>
      </c>
      <c r="I1015" s="87">
        <v>88.5</v>
      </c>
      <c r="J1015" s="87">
        <v>0</v>
      </c>
      <c r="K1015" s="87">
        <f>I1015*AO1015</f>
        <v>0</v>
      </c>
      <c r="L1015" s="87">
        <f>I1015*AP1015</f>
        <v>0</v>
      </c>
      <c r="M1015" s="87">
        <f>I1015*J1015</f>
        <v>0</v>
      </c>
      <c r="N1015" s="77" t="s">
        <v>1556</v>
      </c>
      <c r="O1015" s="67"/>
      <c r="Z1015" s="28">
        <f>IF(AQ1015="5",BJ1015,0)</f>
        <v>0</v>
      </c>
      <c r="AB1015" s="28">
        <f>IF(AQ1015="1",BH1015,0)</f>
        <v>0</v>
      </c>
      <c r="AC1015" s="28">
        <f>IF(AQ1015="1",BI1015,0)</f>
        <v>0</v>
      </c>
      <c r="AD1015" s="28">
        <f>IF(AQ1015="7",BH1015,0)</f>
        <v>0</v>
      </c>
      <c r="AE1015" s="28">
        <f>IF(AQ1015="7",BI1015,0)</f>
        <v>0</v>
      </c>
      <c r="AF1015" s="28">
        <f>IF(AQ1015="2",BH1015,0)</f>
        <v>0</v>
      </c>
      <c r="AG1015" s="28">
        <f>IF(AQ1015="2",BI1015,0)</f>
        <v>0</v>
      </c>
      <c r="AH1015" s="28">
        <f>IF(AQ1015="0",BJ1015,0)</f>
        <v>0</v>
      </c>
      <c r="AI1015" s="27" t="s">
        <v>283</v>
      </c>
      <c r="AJ1015" s="18">
        <f>IF(AN1015=0,M1015,0)</f>
        <v>0</v>
      </c>
      <c r="AK1015" s="18">
        <f>IF(AN1015=15,M1015,0)</f>
        <v>0</v>
      </c>
      <c r="AL1015" s="18">
        <f>IF(AN1015=21,M1015,0)</f>
        <v>0</v>
      </c>
      <c r="AN1015" s="28">
        <v>15</v>
      </c>
      <c r="AO1015" s="28">
        <f>J1015*0</f>
        <v>0</v>
      </c>
      <c r="AP1015" s="28">
        <f>J1015*(1-0)</f>
        <v>0</v>
      </c>
      <c r="AQ1015" s="29" t="s">
        <v>7</v>
      </c>
      <c r="AV1015" s="28">
        <f>AW1015+AX1015</f>
        <v>0</v>
      </c>
      <c r="AW1015" s="28">
        <f>I1015*AO1015</f>
        <v>0</v>
      </c>
      <c r="AX1015" s="28">
        <f>I1015*AP1015</f>
        <v>0</v>
      </c>
      <c r="AY1015" s="31" t="s">
        <v>1605</v>
      </c>
      <c r="AZ1015" s="31" t="s">
        <v>1613</v>
      </c>
      <c r="BA1015" s="27" t="s">
        <v>1628</v>
      </c>
      <c r="BC1015" s="28">
        <f>AW1015+AX1015</f>
        <v>0</v>
      </c>
      <c r="BD1015" s="28">
        <f>J1015/(100-BE1015)*100</f>
        <v>0</v>
      </c>
      <c r="BE1015" s="28">
        <v>0</v>
      </c>
      <c r="BF1015" s="28">
        <f>1015</f>
        <v>1015</v>
      </c>
      <c r="BH1015" s="18">
        <f>I1015*AO1015</f>
        <v>0</v>
      </c>
      <c r="BI1015" s="18">
        <f>I1015*AP1015</f>
        <v>0</v>
      </c>
      <c r="BJ1015" s="18">
        <f>I1015*J1015</f>
        <v>0</v>
      </c>
      <c r="BK1015" s="18" t="s">
        <v>1634</v>
      </c>
      <c r="BL1015" s="28">
        <v>96</v>
      </c>
    </row>
    <row r="1016" spans="1:15" ht="12.75">
      <c r="A1016" s="82"/>
      <c r="B1016" s="83"/>
      <c r="C1016" s="83"/>
      <c r="D1016" s="85" t="s">
        <v>1247</v>
      </c>
      <c r="G1016" s="86" t="s">
        <v>1434</v>
      </c>
      <c r="H1016" s="83"/>
      <c r="I1016" s="88">
        <v>88.5</v>
      </c>
      <c r="J1016" s="83"/>
      <c r="K1016" s="83"/>
      <c r="L1016" s="83"/>
      <c r="M1016" s="83"/>
      <c r="N1016" s="80"/>
      <c r="O1016" s="67"/>
    </row>
    <row r="1017" spans="1:15" ht="12.75">
      <c r="A1017" s="3"/>
      <c r="C1017" s="13" t="s">
        <v>302</v>
      </c>
      <c r="D1017" s="145" t="s">
        <v>1248</v>
      </c>
      <c r="E1017" s="146"/>
      <c r="F1017" s="146"/>
      <c r="G1017" s="146"/>
      <c r="H1017" s="146"/>
      <c r="I1017" s="146"/>
      <c r="J1017" s="146"/>
      <c r="K1017" s="146"/>
      <c r="L1017" s="146"/>
      <c r="M1017" s="146"/>
      <c r="N1017" s="147"/>
      <c r="O1017" s="3"/>
    </row>
    <row r="1018" spans="1:15" ht="12.75">
      <c r="A1018" s="3"/>
      <c r="C1018" s="12" t="s">
        <v>296</v>
      </c>
      <c r="D1018" s="142" t="s">
        <v>877</v>
      </c>
      <c r="E1018" s="143"/>
      <c r="F1018" s="143"/>
      <c r="G1018" s="143"/>
      <c r="H1018" s="143"/>
      <c r="I1018" s="143"/>
      <c r="J1018" s="143"/>
      <c r="K1018" s="143"/>
      <c r="L1018" s="143"/>
      <c r="M1018" s="143"/>
      <c r="N1018" s="144"/>
      <c r="O1018" s="3"/>
    </row>
    <row r="1019" spans="1:64" ht="12.75">
      <c r="A1019" s="81" t="s">
        <v>237</v>
      </c>
      <c r="B1019" s="81" t="s">
        <v>283</v>
      </c>
      <c r="C1019" s="81" t="s">
        <v>535</v>
      </c>
      <c r="D1019" s="139" t="s">
        <v>1249</v>
      </c>
      <c r="E1019" s="134"/>
      <c r="F1019" s="134"/>
      <c r="G1019" s="140"/>
      <c r="H1019" s="81" t="s">
        <v>1538</v>
      </c>
      <c r="I1019" s="87">
        <v>13</v>
      </c>
      <c r="J1019" s="87">
        <v>0</v>
      </c>
      <c r="K1019" s="87">
        <f>I1019*AO1019</f>
        <v>0</v>
      </c>
      <c r="L1019" s="87">
        <f>I1019*AP1019</f>
        <v>0</v>
      </c>
      <c r="M1019" s="87">
        <f>I1019*J1019</f>
        <v>0</v>
      </c>
      <c r="N1019" s="77" t="s">
        <v>1556</v>
      </c>
      <c r="O1019" s="67"/>
      <c r="Z1019" s="28">
        <f>IF(AQ1019="5",BJ1019,0)</f>
        <v>0</v>
      </c>
      <c r="AB1019" s="28">
        <f>IF(AQ1019="1",BH1019,0)</f>
        <v>0</v>
      </c>
      <c r="AC1019" s="28">
        <f>IF(AQ1019="1",BI1019,0)</f>
        <v>0</v>
      </c>
      <c r="AD1019" s="28">
        <f>IF(AQ1019="7",BH1019,0)</f>
        <v>0</v>
      </c>
      <c r="AE1019" s="28">
        <f>IF(AQ1019="7",BI1019,0)</f>
        <v>0</v>
      </c>
      <c r="AF1019" s="28">
        <f>IF(AQ1019="2",BH1019,0)</f>
        <v>0</v>
      </c>
      <c r="AG1019" s="28">
        <f>IF(AQ1019="2",BI1019,0)</f>
        <v>0</v>
      </c>
      <c r="AH1019" s="28">
        <f>IF(AQ1019="0",BJ1019,0)</f>
        <v>0</v>
      </c>
      <c r="AI1019" s="27" t="s">
        <v>283</v>
      </c>
      <c r="AJ1019" s="18">
        <f>IF(AN1019=0,M1019,0)</f>
        <v>0</v>
      </c>
      <c r="AK1019" s="18">
        <f>IF(AN1019=15,M1019,0)</f>
        <v>0</v>
      </c>
      <c r="AL1019" s="18">
        <f>IF(AN1019=21,M1019,0)</f>
        <v>0</v>
      </c>
      <c r="AN1019" s="28">
        <v>15</v>
      </c>
      <c r="AO1019" s="28">
        <f>J1019*0</f>
        <v>0</v>
      </c>
      <c r="AP1019" s="28">
        <f>J1019*(1-0)</f>
        <v>0</v>
      </c>
      <c r="AQ1019" s="29" t="s">
        <v>7</v>
      </c>
      <c r="AV1019" s="28">
        <f>AW1019+AX1019</f>
        <v>0</v>
      </c>
      <c r="AW1019" s="28">
        <f>I1019*AO1019</f>
        <v>0</v>
      </c>
      <c r="AX1019" s="28">
        <f>I1019*AP1019</f>
        <v>0</v>
      </c>
      <c r="AY1019" s="31" t="s">
        <v>1605</v>
      </c>
      <c r="AZ1019" s="31" t="s">
        <v>1613</v>
      </c>
      <c r="BA1019" s="27" t="s">
        <v>1628</v>
      </c>
      <c r="BC1019" s="28">
        <f>AW1019+AX1019</f>
        <v>0</v>
      </c>
      <c r="BD1019" s="28">
        <f>J1019/(100-BE1019)*100</f>
        <v>0</v>
      </c>
      <c r="BE1019" s="28">
        <v>0</v>
      </c>
      <c r="BF1019" s="28">
        <f>1019</f>
        <v>1019</v>
      </c>
      <c r="BH1019" s="18">
        <f>I1019*AO1019</f>
        <v>0</v>
      </c>
      <c r="BI1019" s="18">
        <f>I1019*AP1019</f>
        <v>0</v>
      </c>
      <c r="BJ1019" s="18">
        <f>I1019*J1019</f>
        <v>0</v>
      </c>
      <c r="BK1019" s="18" t="s">
        <v>1634</v>
      </c>
      <c r="BL1019" s="28">
        <v>96</v>
      </c>
    </row>
    <row r="1020" spans="1:15" ht="12.75">
      <c r="A1020" s="82"/>
      <c r="B1020" s="83"/>
      <c r="C1020" s="83"/>
      <c r="D1020" s="85" t="s">
        <v>1250</v>
      </c>
      <c r="G1020" s="86" t="s">
        <v>1519</v>
      </c>
      <c r="H1020" s="83"/>
      <c r="I1020" s="88">
        <v>13</v>
      </c>
      <c r="J1020" s="83"/>
      <c r="K1020" s="83"/>
      <c r="L1020" s="83"/>
      <c r="M1020" s="83"/>
      <c r="N1020" s="80"/>
      <c r="O1020" s="67"/>
    </row>
    <row r="1021" spans="1:15" ht="12.75">
      <c r="A1021" s="3"/>
      <c r="C1021" s="13" t="s">
        <v>302</v>
      </c>
      <c r="D1021" s="145" t="s">
        <v>1235</v>
      </c>
      <c r="E1021" s="146"/>
      <c r="F1021" s="146"/>
      <c r="G1021" s="146"/>
      <c r="H1021" s="146"/>
      <c r="I1021" s="146"/>
      <c r="J1021" s="146"/>
      <c r="K1021" s="146"/>
      <c r="L1021" s="146"/>
      <c r="M1021" s="146"/>
      <c r="N1021" s="147"/>
      <c r="O1021" s="3"/>
    </row>
    <row r="1022" spans="1:15" ht="12.75">
      <c r="A1022" s="3"/>
      <c r="C1022" s="12" t="s">
        <v>296</v>
      </c>
      <c r="D1022" s="142" t="s">
        <v>877</v>
      </c>
      <c r="E1022" s="143"/>
      <c r="F1022" s="143"/>
      <c r="G1022" s="143"/>
      <c r="H1022" s="143"/>
      <c r="I1022" s="143"/>
      <c r="J1022" s="143"/>
      <c r="K1022" s="143"/>
      <c r="L1022" s="143"/>
      <c r="M1022" s="143"/>
      <c r="N1022" s="144"/>
      <c r="O1022" s="3"/>
    </row>
    <row r="1023" spans="1:64" ht="12.75">
      <c r="A1023" s="81" t="s">
        <v>238</v>
      </c>
      <c r="B1023" s="81" t="s">
        <v>283</v>
      </c>
      <c r="C1023" s="81" t="s">
        <v>536</v>
      </c>
      <c r="D1023" s="139" t="s">
        <v>1251</v>
      </c>
      <c r="E1023" s="134"/>
      <c r="F1023" s="134"/>
      <c r="G1023" s="140"/>
      <c r="H1023" s="81" t="s">
        <v>1535</v>
      </c>
      <c r="I1023" s="87">
        <v>32.4875</v>
      </c>
      <c r="J1023" s="87">
        <v>0</v>
      </c>
      <c r="K1023" s="87">
        <f>I1023*AO1023</f>
        <v>0</v>
      </c>
      <c r="L1023" s="87">
        <f>I1023*AP1023</f>
        <v>0</v>
      </c>
      <c r="M1023" s="87">
        <f>I1023*J1023</f>
        <v>0</v>
      </c>
      <c r="N1023" s="77" t="s">
        <v>1556</v>
      </c>
      <c r="O1023" s="67"/>
      <c r="Z1023" s="28">
        <f>IF(AQ1023="5",BJ1023,0)</f>
        <v>0</v>
      </c>
      <c r="AB1023" s="28">
        <f>IF(AQ1023="1",BH1023,0)</f>
        <v>0</v>
      </c>
      <c r="AC1023" s="28">
        <f>IF(AQ1023="1",BI1023,0)</f>
        <v>0</v>
      </c>
      <c r="AD1023" s="28">
        <f>IF(AQ1023="7",BH1023,0)</f>
        <v>0</v>
      </c>
      <c r="AE1023" s="28">
        <f>IF(AQ1023="7",BI1023,0)</f>
        <v>0</v>
      </c>
      <c r="AF1023" s="28">
        <f>IF(AQ1023="2",BH1023,0)</f>
        <v>0</v>
      </c>
      <c r="AG1023" s="28">
        <f>IF(AQ1023="2",BI1023,0)</f>
        <v>0</v>
      </c>
      <c r="AH1023" s="28">
        <f>IF(AQ1023="0",BJ1023,0)</f>
        <v>0</v>
      </c>
      <c r="AI1023" s="27" t="s">
        <v>283</v>
      </c>
      <c r="AJ1023" s="18">
        <f>IF(AN1023=0,M1023,0)</f>
        <v>0</v>
      </c>
      <c r="AK1023" s="18">
        <f>IF(AN1023=15,M1023,0)</f>
        <v>0</v>
      </c>
      <c r="AL1023" s="18">
        <f>IF(AN1023=21,M1023,0)</f>
        <v>0</v>
      </c>
      <c r="AN1023" s="28">
        <v>15</v>
      </c>
      <c r="AO1023" s="28">
        <f>J1023*0.103127604674671</f>
        <v>0</v>
      </c>
      <c r="AP1023" s="28">
        <f>J1023*(1-0.103127604674671)</f>
        <v>0</v>
      </c>
      <c r="AQ1023" s="29" t="s">
        <v>7</v>
      </c>
      <c r="AV1023" s="28">
        <f>AW1023+AX1023</f>
        <v>0</v>
      </c>
      <c r="AW1023" s="28">
        <f>I1023*AO1023</f>
        <v>0</v>
      </c>
      <c r="AX1023" s="28">
        <f>I1023*AP1023</f>
        <v>0</v>
      </c>
      <c r="AY1023" s="31" t="s">
        <v>1605</v>
      </c>
      <c r="AZ1023" s="31" t="s">
        <v>1613</v>
      </c>
      <c r="BA1023" s="27" t="s">
        <v>1628</v>
      </c>
      <c r="BC1023" s="28">
        <f>AW1023+AX1023</f>
        <v>0</v>
      </c>
      <c r="BD1023" s="28">
        <f>J1023/(100-BE1023)*100</f>
        <v>0</v>
      </c>
      <c r="BE1023" s="28">
        <v>0</v>
      </c>
      <c r="BF1023" s="28">
        <f>1023</f>
        <v>1023</v>
      </c>
      <c r="BH1023" s="18">
        <f>I1023*AO1023</f>
        <v>0</v>
      </c>
      <c r="BI1023" s="18">
        <f>I1023*AP1023</f>
        <v>0</v>
      </c>
      <c r="BJ1023" s="18">
        <f>I1023*J1023</f>
        <v>0</v>
      </c>
      <c r="BK1023" s="18" t="s">
        <v>1634</v>
      </c>
      <c r="BL1023" s="28">
        <v>96</v>
      </c>
    </row>
    <row r="1024" spans="1:15" ht="12.75">
      <c r="A1024" s="82"/>
      <c r="B1024" s="83"/>
      <c r="C1024" s="83"/>
      <c r="D1024" s="85" t="s">
        <v>1252</v>
      </c>
      <c r="G1024" s="86" t="s">
        <v>1519</v>
      </c>
      <c r="H1024" s="83"/>
      <c r="I1024" s="88">
        <v>32.4875</v>
      </c>
      <c r="J1024" s="83"/>
      <c r="K1024" s="83"/>
      <c r="L1024" s="83"/>
      <c r="M1024" s="83"/>
      <c r="N1024" s="80"/>
      <c r="O1024" s="67"/>
    </row>
    <row r="1025" spans="1:15" ht="12.75">
      <c r="A1025" s="3"/>
      <c r="C1025" s="13" t="s">
        <v>302</v>
      </c>
      <c r="D1025" s="145" t="s">
        <v>1253</v>
      </c>
      <c r="E1025" s="146"/>
      <c r="F1025" s="146"/>
      <c r="G1025" s="146"/>
      <c r="H1025" s="146"/>
      <c r="I1025" s="146"/>
      <c r="J1025" s="146"/>
      <c r="K1025" s="146"/>
      <c r="L1025" s="146"/>
      <c r="M1025" s="146"/>
      <c r="N1025" s="147"/>
      <c r="O1025" s="3"/>
    </row>
    <row r="1026" spans="1:15" ht="12.75">
      <c r="A1026" s="3"/>
      <c r="C1026" s="12" t="s">
        <v>296</v>
      </c>
      <c r="D1026" s="142" t="s">
        <v>877</v>
      </c>
      <c r="E1026" s="143"/>
      <c r="F1026" s="143"/>
      <c r="G1026" s="143"/>
      <c r="H1026" s="143"/>
      <c r="I1026" s="143"/>
      <c r="J1026" s="143"/>
      <c r="K1026" s="143"/>
      <c r="L1026" s="143"/>
      <c r="M1026" s="143"/>
      <c r="N1026" s="144"/>
      <c r="O1026" s="3"/>
    </row>
    <row r="1027" spans="1:64" ht="12.75">
      <c r="A1027" s="81" t="s">
        <v>239</v>
      </c>
      <c r="B1027" s="81" t="s">
        <v>283</v>
      </c>
      <c r="C1027" s="81" t="s">
        <v>537</v>
      </c>
      <c r="D1027" s="139" t="s">
        <v>1254</v>
      </c>
      <c r="E1027" s="134"/>
      <c r="F1027" s="134"/>
      <c r="G1027" s="140"/>
      <c r="H1027" s="81" t="s">
        <v>1535</v>
      </c>
      <c r="I1027" s="87">
        <v>61.82</v>
      </c>
      <c r="J1027" s="87">
        <v>0</v>
      </c>
      <c r="K1027" s="87">
        <f>I1027*AO1027</f>
        <v>0</v>
      </c>
      <c r="L1027" s="87">
        <f>I1027*AP1027</f>
        <v>0</v>
      </c>
      <c r="M1027" s="87">
        <f>I1027*J1027</f>
        <v>0</v>
      </c>
      <c r="N1027" s="77" t="s">
        <v>1556</v>
      </c>
      <c r="O1027" s="67"/>
      <c r="Z1027" s="28">
        <f>IF(AQ1027="5",BJ1027,0)</f>
        <v>0</v>
      </c>
      <c r="AB1027" s="28">
        <f>IF(AQ1027="1",BH1027,0)</f>
        <v>0</v>
      </c>
      <c r="AC1027" s="28">
        <f>IF(AQ1027="1",BI1027,0)</f>
        <v>0</v>
      </c>
      <c r="AD1027" s="28">
        <f>IF(AQ1027="7",BH1027,0)</f>
        <v>0</v>
      </c>
      <c r="AE1027" s="28">
        <f>IF(AQ1027="7",BI1027,0)</f>
        <v>0</v>
      </c>
      <c r="AF1027" s="28">
        <f>IF(AQ1027="2",BH1027,0)</f>
        <v>0</v>
      </c>
      <c r="AG1027" s="28">
        <f>IF(AQ1027="2",BI1027,0)</f>
        <v>0</v>
      </c>
      <c r="AH1027" s="28">
        <f>IF(AQ1027="0",BJ1027,0)</f>
        <v>0</v>
      </c>
      <c r="AI1027" s="27" t="s">
        <v>283</v>
      </c>
      <c r="AJ1027" s="18">
        <f>IF(AN1027=0,M1027,0)</f>
        <v>0</v>
      </c>
      <c r="AK1027" s="18">
        <f>IF(AN1027=15,M1027,0)</f>
        <v>0</v>
      </c>
      <c r="AL1027" s="18">
        <f>IF(AN1027=21,M1027,0)</f>
        <v>0</v>
      </c>
      <c r="AN1027" s="28">
        <v>15</v>
      </c>
      <c r="AO1027" s="28">
        <f>J1027*0.0552508361204013</f>
        <v>0</v>
      </c>
      <c r="AP1027" s="28">
        <f>J1027*(1-0.0552508361204013)</f>
        <v>0</v>
      </c>
      <c r="AQ1027" s="29" t="s">
        <v>7</v>
      </c>
      <c r="AV1027" s="28">
        <f>AW1027+AX1027</f>
        <v>0</v>
      </c>
      <c r="AW1027" s="28">
        <f>I1027*AO1027</f>
        <v>0</v>
      </c>
      <c r="AX1027" s="28">
        <f>I1027*AP1027</f>
        <v>0</v>
      </c>
      <c r="AY1027" s="31" t="s">
        <v>1605</v>
      </c>
      <c r="AZ1027" s="31" t="s">
        <v>1613</v>
      </c>
      <c r="BA1027" s="27" t="s">
        <v>1628</v>
      </c>
      <c r="BC1027" s="28">
        <f>AW1027+AX1027</f>
        <v>0</v>
      </c>
      <c r="BD1027" s="28">
        <f>J1027/(100-BE1027)*100</f>
        <v>0</v>
      </c>
      <c r="BE1027" s="28">
        <v>0</v>
      </c>
      <c r="BF1027" s="28">
        <f>1027</f>
        <v>1027</v>
      </c>
      <c r="BH1027" s="18">
        <f>I1027*AO1027</f>
        <v>0</v>
      </c>
      <c r="BI1027" s="18">
        <f>I1027*AP1027</f>
        <v>0</v>
      </c>
      <c r="BJ1027" s="18">
        <f>I1027*J1027</f>
        <v>0</v>
      </c>
      <c r="BK1027" s="18" t="s">
        <v>1634</v>
      </c>
      <c r="BL1027" s="28">
        <v>96</v>
      </c>
    </row>
    <row r="1028" spans="1:15" ht="12.75">
      <c r="A1028" s="82"/>
      <c r="B1028" s="83"/>
      <c r="C1028" s="83"/>
      <c r="D1028" s="85" t="s">
        <v>650</v>
      </c>
      <c r="G1028" s="86" t="s">
        <v>1520</v>
      </c>
      <c r="H1028" s="83"/>
      <c r="I1028" s="88">
        <v>61.82</v>
      </c>
      <c r="J1028" s="83"/>
      <c r="K1028" s="83"/>
      <c r="L1028" s="83"/>
      <c r="M1028" s="83"/>
      <c r="N1028" s="80"/>
      <c r="O1028" s="67"/>
    </row>
    <row r="1029" spans="1:15" ht="12.75">
      <c r="A1029" s="3"/>
      <c r="C1029" s="13" t="s">
        <v>302</v>
      </c>
      <c r="D1029" s="145" t="s">
        <v>1255</v>
      </c>
      <c r="E1029" s="146"/>
      <c r="F1029" s="146"/>
      <c r="G1029" s="146"/>
      <c r="H1029" s="146"/>
      <c r="I1029" s="146"/>
      <c r="J1029" s="146"/>
      <c r="K1029" s="146"/>
      <c r="L1029" s="146"/>
      <c r="M1029" s="146"/>
      <c r="N1029" s="147"/>
      <c r="O1029" s="3"/>
    </row>
    <row r="1030" spans="1:15" ht="12.75">
      <c r="A1030" s="3"/>
      <c r="C1030" s="12" t="s">
        <v>296</v>
      </c>
      <c r="D1030" s="142" t="s">
        <v>877</v>
      </c>
      <c r="E1030" s="143"/>
      <c r="F1030" s="143"/>
      <c r="G1030" s="143"/>
      <c r="H1030" s="143"/>
      <c r="I1030" s="143"/>
      <c r="J1030" s="143"/>
      <c r="K1030" s="143"/>
      <c r="L1030" s="143"/>
      <c r="M1030" s="143"/>
      <c r="N1030" s="144"/>
      <c r="O1030" s="3"/>
    </row>
    <row r="1031" spans="1:64" ht="12.75">
      <c r="A1031" s="74" t="s">
        <v>240</v>
      </c>
      <c r="B1031" s="74" t="s">
        <v>283</v>
      </c>
      <c r="C1031" s="74" t="s">
        <v>538</v>
      </c>
      <c r="D1031" s="133" t="s">
        <v>1256</v>
      </c>
      <c r="E1031" s="134"/>
      <c r="F1031" s="134"/>
      <c r="G1031" s="135"/>
      <c r="H1031" s="74" t="s">
        <v>1535</v>
      </c>
      <c r="I1031" s="75">
        <v>4.89</v>
      </c>
      <c r="J1031" s="75">
        <v>0</v>
      </c>
      <c r="K1031" s="75">
        <f>I1031*AO1031</f>
        <v>0</v>
      </c>
      <c r="L1031" s="75">
        <f>I1031*AP1031</f>
        <v>0</v>
      </c>
      <c r="M1031" s="75">
        <f>I1031*J1031</f>
        <v>0</v>
      </c>
      <c r="N1031" s="78" t="s">
        <v>1556</v>
      </c>
      <c r="O1031" s="67"/>
      <c r="Z1031" s="28">
        <f>IF(AQ1031="5",BJ1031,0)</f>
        <v>0</v>
      </c>
      <c r="AB1031" s="28">
        <f>IF(AQ1031="1",BH1031,0)</f>
        <v>0</v>
      </c>
      <c r="AC1031" s="28">
        <f>IF(AQ1031="1",BI1031,0)</f>
        <v>0</v>
      </c>
      <c r="AD1031" s="28">
        <f>IF(AQ1031="7",BH1031,0)</f>
        <v>0</v>
      </c>
      <c r="AE1031" s="28">
        <f>IF(AQ1031="7",BI1031,0)</f>
        <v>0</v>
      </c>
      <c r="AF1031" s="28">
        <f>IF(AQ1031="2",BH1031,0)</f>
        <v>0</v>
      </c>
      <c r="AG1031" s="28">
        <f>IF(AQ1031="2",BI1031,0)</f>
        <v>0</v>
      </c>
      <c r="AH1031" s="28">
        <f>IF(AQ1031="0",BJ1031,0)</f>
        <v>0</v>
      </c>
      <c r="AI1031" s="27" t="s">
        <v>283</v>
      </c>
      <c r="AJ1031" s="18">
        <f>IF(AN1031=0,M1031,0)</f>
        <v>0</v>
      </c>
      <c r="AK1031" s="18">
        <f>IF(AN1031=15,M1031,0)</f>
        <v>0</v>
      </c>
      <c r="AL1031" s="18">
        <f>IF(AN1031=21,M1031,0)</f>
        <v>0</v>
      </c>
      <c r="AN1031" s="28">
        <v>15</v>
      </c>
      <c r="AO1031" s="28">
        <f>J1031*0</f>
        <v>0</v>
      </c>
      <c r="AP1031" s="28">
        <f>J1031*(1-0)</f>
        <v>0</v>
      </c>
      <c r="AQ1031" s="29" t="s">
        <v>7</v>
      </c>
      <c r="AV1031" s="28">
        <f>AW1031+AX1031</f>
        <v>0</v>
      </c>
      <c r="AW1031" s="28">
        <f>I1031*AO1031</f>
        <v>0</v>
      </c>
      <c r="AX1031" s="28">
        <f>I1031*AP1031</f>
        <v>0</v>
      </c>
      <c r="AY1031" s="31" t="s">
        <v>1605</v>
      </c>
      <c r="AZ1031" s="31" t="s">
        <v>1613</v>
      </c>
      <c r="BA1031" s="27" t="s">
        <v>1628</v>
      </c>
      <c r="BC1031" s="28">
        <f>AW1031+AX1031</f>
        <v>0</v>
      </c>
      <c r="BD1031" s="28">
        <f>J1031/(100-BE1031)*100</f>
        <v>0</v>
      </c>
      <c r="BE1031" s="28">
        <v>0</v>
      </c>
      <c r="BF1031" s="28">
        <f>1031</f>
        <v>1031</v>
      </c>
      <c r="BH1031" s="18">
        <f>I1031*AO1031</f>
        <v>0</v>
      </c>
      <c r="BI1031" s="18">
        <f>I1031*AP1031</f>
        <v>0</v>
      </c>
      <c r="BJ1031" s="18">
        <f>I1031*J1031</f>
        <v>0</v>
      </c>
      <c r="BK1031" s="18" t="s">
        <v>1634</v>
      </c>
      <c r="BL1031" s="28">
        <v>96</v>
      </c>
    </row>
    <row r="1032" spans="1:15" ht="12.75">
      <c r="A1032" s="3"/>
      <c r="D1032" s="136" t="s">
        <v>1229</v>
      </c>
      <c r="E1032" s="137"/>
      <c r="F1032" s="137"/>
      <c r="G1032" s="137"/>
      <c r="H1032" s="137"/>
      <c r="I1032" s="137"/>
      <c r="J1032" s="137"/>
      <c r="K1032" s="137"/>
      <c r="L1032" s="137"/>
      <c r="M1032" s="137"/>
      <c r="N1032" s="138"/>
      <c r="O1032" s="3"/>
    </row>
    <row r="1033" spans="1:15" ht="12.75">
      <c r="A1033" s="89"/>
      <c r="B1033" s="90"/>
      <c r="C1033" s="90"/>
      <c r="D1033" s="84" t="s">
        <v>1121</v>
      </c>
      <c r="G1033" s="91" t="s">
        <v>1521</v>
      </c>
      <c r="H1033" s="90"/>
      <c r="I1033" s="92">
        <v>1.35</v>
      </c>
      <c r="J1033" s="90"/>
      <c r="K1033" s="90"/>
      <c r="L1033" s="90"/>
      <c r="M1033" s="90"/>
      <c r="N1033" s="79"/>
      <c r="O1033" s="67"/>
    </row>
    <row r="1034" spans="1:15" ht="12.75">
      <c r="A1034" s="82"/>
      <c r="B1034" s="83"/>
      <c r="C1034" s="83"/>
      <c r="D1034" s="85" t="s">
        <v>1257</v>
      </c>
      <c r="G1034" s="86" t="s">
        <v>1522</v>
      </c>
      <c r="H1034" s="83"/>
      <c r="I1034" s="88">
        <v>3.54</v>
      </c>
      <c r="J1034" s="83"/>
      <c r="K1034" s="83"/>
      <c r="L1034" s="83"/>
      <c r="M1034" s="83"/>
      <c r="N1034" s="80"/>
      <c r="O1034" s="67"/>
    </row>
    <row r="1035" spans="1:15" ht="12.75">
      <c r="A1035" s="3"/>
      <c r="C1035" s="13" t="s">
        <v>302</v>
      </c>
      <c r="D1035" s="145" t="s">
        <v>1258</v>
      </c>
      <c r="E1035" s="146"/>
      <c r="F1035" s="146"/>
      <c r="G1035" s="146"/>
      <c r="H1035" s="146"/>
      <c r="I1035" s="146"/>
      <c r="J1035" s="146"/>
      <c r="K1035" s="146"/>
      <c r="L1035" s="146"/>
      <c r="M1035" s="146"/>
      <c r="N1035" s="147"/>
      <c r="O1035" s="3"/>
    </row>
    <row r="1036" spans="1:15" ht="12.75">
      <c r="A1036" s="3"/>
      <c r="C1036" s="12" t="s">
        <v>296</v>
      </c>
      <c r="D1036" s="142" t="s">
        <v>877</v>
      </c>
      <c r="E1036" s="143"/>
      <c r="F1036" s="143"/>
      <c r="G1036" s="143"/>
      <c r="H1036" s="143"/>
      <c r="I1036" s="143"/>
      <c r="J1036" s="143"/>
      <c r="K1036" s="143"/>
      <c r="L1036" s="143"/>
      <c r="M1036" s="143"/>
      <c r="N1036" s="144"/>
      <c r="O1036" s="3"/>
    </row>
    <row r="1037" spans="1:47" ht="12.75">
      <c r="A1037" s="72"/>
      <c r="B1037" s="73" t="s">
        <v>283</v>
      </c>
      <c r="C1037" s="73" t="s">
        <v>103</v>
      </c>
      <c r="D1037" s="130" t="s">
        <v>1259</v>
      </c>
      <c r="E1037" s="131"/>
      <c r="F1037" s="131"/>
      <c r="G1037" s="132"/>
      <c r="H1037" s="72" t="s">
        <v>6</v>
      </c>
      <c r="I1037" s="72" t="s">
        <v>6</v>
      </c>
      <c r="J1037" s="72" t="s">
        <v>6</v>
      </c>
      <c r="K1037" s="76">
        <f>SUM(K1038:K1042)</f>
        <v>0</v>
      </c>
      <c r="L1037" s="76">
        <f>SUM(L1038:L1042)</f>
        <v>0</v>
      </c>
      <c r="M1037" s="76">
        <f>SUM(M1038:M1042)</f>
        <v>0</v>
      </c>
      <c r="N1037" s="71"/>
      <c r="O1037" s="67"/>
      <c r="AI1037" s="27" t="s">
        <v>283</v>
      </c>
      <c r="AS1037" s="33">
        <f>SUM(AJ1038:AJ1042)</f>
        <v>0</v>
      </c>
      <c r="AT1037" s="33">
        <f>SUM(AK1038:AK1042)</f>
        <v>0</v>
      </c>
      <c r="AU1037" s="33">
        <f>SUM(AL1038:AL1042)</f>
        <v>0</v>
      </c>
    </row>
    <row r="1038" spans="1:64" ht="12.75">
      <c r="A1038" s="74" t="s">
        <v>241</v>
      </c>
      <c r="B1038" s="74" t="s">
        <v>283</v>
      </c>
      <c r="C1038" s="74" t="s">
        <v>539</v>
      </c>
      <c r="D1038" s="133" t="s">
        <v>1260</v>
      </c>
      <c r="E1038" s="134"/>
      <c r="F1038" s="134"/>
      <c r="G1038" s="135"/>
      <c r="H1038" s="74" t="s">
        <v>1539</v>
      </c>
      <c r="I1038" s="75">
        <v>18.4</v>
      </c>
      <c r="J1038" s="75">
        <v>0</v>
      </c>
      <c r="K1038" s="75">
        <f>I1038*AO1038</f>
        <v>0</v>
      </c>
      <c r="L1038" s="75">
        <f>I1038*AP1038</f>
        <v>0</v>
      </c>
      <c r="M1038" s="75">
        <f>I1038*J1038</f>
        <v>0</v>
      </c>
      <c r="N1038" s="78" t="s">
        <v>1556</v>
      </c>
      <c r="O1038" s="67"/>
      <c r="Z1038" s="28">
        <f>IF(AQ1038="5",BJ1038,0)</f>
        <v>0</v>
      </c>
      <c r="AB1038" s="28">
        <f>IF(AQ1038="1",BH1038,0)</f>
        <v>0</v>
      </c>
      <c r="AC1038" s="28">
        <f>IF(AQ1038="1",BI1038,0)</f>
        <v>0</v>
      </c>
      <c r="AD1038" s="28">
        <f>IF(AQ1038="7",BH1038,0)</f>
        <v>0</v>
      </c>
      <c r="AE1038" s="28">
        <f>IF(AQ1038="7",BI1038,0)</f>
        <v>0</v>
      </c>
      <c r="AF1038" s="28">
        <f>IF(AQ1038="2",BH1038,0)</f>
        <v>0</v>
      </c>
      <c r="AG1038" s="28">
        <f>IF(AQ1038="2",BI1038,0)</f>
        <v>0</v>
      </c>
      <c r="AH1038" s="28">
        <f>IF(AQ1038="0",BJ1038,0)</f>
        <v>0</v>
      </c>
      <c r="AI1038" s="27" t="s">
        <v>283</v>
      </c>
      <c r="AJ1038" s="18">
        <f>IF(AN1038=0,M1038,0)</f>
        <v>0</v>
      </c>
      <c r="AK1038" s="18">
        <f>IF(AN1038=15,M1038,0)</f>
        <v>0</v>
      </c>
      <c r="AL1038" s="18">
        <f>IF(AN1038=21,M1038,0)</f>
        <v>0</v>
      </c>
      <c r="AN1038" s="28">
        <v>15</v>
      </c>
      <c r="AO1038" s="28">
        <f>J1038*0</f>
        <v>0</v>
      </c>
      <c r="AP1038" s="28">
        <f>J1038*(1-0)</f>
        <v>0</v>
      </c>
      <c r="AQ1038" s="29" t="s">
        <v>7</v>
      </c>
      <c r="AV1038" s="28">
        <f>AW1038+AX1038</f>
        <v>0</v>
      </c>
      <c r="AW1038" s="28">
        <f>I1038*AO1038</f>
        <v>0</v>
      </c>
      <c r="AX1038" s="28">
        <f>I1038*AP1038</f>
        <v>0</v>
      </c>
      <c r="AY1038" s="31" t="s">
        <v>1606</v>
      </c>
      <c r="AZ1038" s="31" t="s">
        <v>1613</v>
      </c>
      <c r="BA1038" s="27" t="s">
        <v>1628</v>
      </c>
      <c r="BC1038" s="28">
        <f>AW1038+AX1038</f>
        <v>0</v>
      </c>
      <c r="BD1038" s="28">
        <f>J1038/(100-BE1038)*100</f>
        <v>0</v>
      </c>
      <c r="BE1038" s="28">
        <v>0</v>
      </c>
      <c r="BF1038" s="28">
        <f>1038</f>
        <v>1038</v>
      </c>
      <c r="BH1038" s="18">
        <f>I1038*AO1038</f>
        <v>0</v>
      </c>
      <c r="BI1038" s="18">
        <f>I1038*AP1038</f>
        <v>0</v>
      </c>
      <c r="BJ1038" s="18">
        <f>I1038*J1038</f>
        <v>0</v>
      </c>
      <c r="BK1038" s="18" t="s">
        <v>1634</v>
      </c>
      <c r="BL1038" s="28">
        <v>97</v>
      </c>
    </row>
    <row r="1039" spans="1:15" ht="12.75">
      <c r="A1039" s="3"/>
      <c r="D1039" s="136" t="s">
        <v>1261</v>
      </c>
      <c r="E1039" s="137"/>
      <c r="F1039" s="137"/>
      <c r="G1039" s="137"/>
      <c r="H1039" s="137"/>
      <c r="I1039" s="137"/>
      <c r="J1039" s="137"/>
      <c r="K1039" s="137"/>
      <c r="L1039" s="137"/>
      <c r="M1039" s="137"/>
      <c r="N1039" s="138"/>
      <c r="O1039" s="3"/>
    </row>
    <row r="1040" spans="1:15" ht="12.75">
      <c r="A1040" s="82"/>
      <c r="B1040" s="83"/>
      <c r="C1040" s="83"/>
      <c r="D1040" s="85" t="s">
        <v>1262</v>
      </c>
      <c r="G1040" s="86" t="s">
        <v>1523</v>
      </c>
      <c r="H1040" s="83"/>
      <c r="I1040" s="88">
        <v>18.4</v>
      </c>
      <c r="J1040" s="83"/>
      <c r="K1040" s="83"/>
      <c r="L1040" s="83"/>
      <c r="M1040" s="83"/>
      <c r="N1040" s="80"/>
      <c r="O1040" s="67"/>
    </row>
    <row r="1041" spans="1:15" ht="12.75">
      <c r="A1041" s="3"/>
      <c r="C1041" s="12" t="s">
        <v>296</v>
      </c>
      <c r="D1041" s="142" t="s">
        <v>877</v>
      </c>
      <c r="E1041" s="143"/>
      <c r="F1041" s="143"/>
      <c r="G1041" s="143"/>
      <c r="H1041" s="143"/>
      <c r="I1041" s="143"/>
      <c r="J1041" s="143"/>
      <c r="K1041" s="143"/>
      <c r="L1041" s="143"/>
      <c r="M1041" s="143"/>
      <c r="N1041" s="144"/>
      <c r="O1041" s="3"/>
    </row>
    <row r="1042" spans="1:64" ht="12.75">
      <c r="A1042" s="74" t="s">
        <v>242</v>
      </c>
      <c r="B1042" s="74" t="s">
        <v>283</v>
      </c>
      <c r="C1042" s="74" t="s">
        <v>540</v>
      </c>
      <c r="D1042" s="133" t="s">
        <v>1263</v>
      </c>
      <c r="E1042" s="134"/>
      <c r="F1042" s="134"/>
      <c r="G1042" s="135"/>
      <c r="H1042" s="74" t="s">
        <v>1538</v>
      </c>
      <c r="I1042" s="75">
        <v>2</v>
      </c>
      <c r="J1042" s="75">
        <v>0</v>
      </c>
      <c r="K1042" s="75">
        <f>I1042*AO1042</f>
        <v>0</v>
      </c>
      <c r="L1042" s="75">
        <f>I1042*AP1042</f>
        <v>0</v>
      </c>
      <c r="M1042" s="75">
        <f>I1042*J1042</f>
        <v>0</v>
      </c>
      <c r="N1042" s="78" t="s">
        <v>1556</v>
      </c>
      <c r="O1042" s="67"/>
      <c r="Z1042" s="28">
        <f>IF(AQ1042="5",BJ1042,0)</f>
        <v>0</v>
      </c>
      <c r="AB1042" s="28">
        <f>IF(AQ1042="1",BH1042,0)</f>
        <v>0</v>
      </c>
      <c r="AC1042" s="28">
        <f>IF(AQ1042="1",BI1042,0)</f>
        <v>0</v>
      </c>
      <c r="AD1042" s="28">
        <f>IF(AQ1042="7",BH1042,0)</f>
        <v>0</v>
      </c>
      <c r="AE1042" s="28">
        <f>IF(AQ1042="7",BI1042,0)</f>
        <v>0</v>
      </c>
      <c r="AF1042" s="28">
        <f>IF(AQ1042="2",BH1042,0)</f>
        <v>0</v>
      </c>
      <c r="AG1042" s="28">
        <f>IF(AQ1042="2",BI1042,0)</f>
        <v>0</v>
      </c>
      <c r="AH1042" s="28">
        <f>IF(AQ1042="0",BJ1042,0)</f>
        <v>0</v>
      </c>
      <c r="AI1042" s="27" t="s">
        <v>283</v>
      </c>
      <c r="AJ1042" s="18">
        <f>IF(AN1042=0,M1042,0)</f>
        <v>0</v>
      </c>
      <c r="AK1042" s="18">
        <f>IF(AN1042=15,M1042,0)</f>
        <v>0</v>
      </c>
      <c r="AL1042" s="18">
        <f>IF(AN1042=21,M1042,0)</f>
        <v>0</v>
      </c>
      <c r="AN1042" s="28">
        <v>15</v>
      </c>
      <c r="AO1042" s="28">
        <f>J1042*0</f>
        <v>0</v>
      </c>
      <c r="AP1042" s="28">
        <f>J1042*(1-0)</f>
        <v>0</v>
      </c>
      <c r="AQ1042" s="29" t="s">
        <v>7</v>
      </c>
      <c r="AV1042" s="28">
        <f>AW1042+AX1042</f>
        <v>0</v>
      </c>
      <c r="AW1042" s="28">
        <f>I1042*AO1042</f>
        <v>0</v>
      </c>
      <c r="AX1042" s="28">
        <f>I1042*AP1042</f>
        <v>0</v>
      </c>
      <c r="AY1042" s="31" t="s">
        <v>1606</v>
      </c>
      <c r="AZ1042" s="31" t="s">
        <v>1613</v>
      </c>
      <c r="BA1042" s="27" t="s">
        <v>1628</v>
      </c>
      <c r="BC1042" s="28">
        <f>AW1042+AX1042</f>
        <v>0</v>
      </c>
      <c r="BD1042" s="28">
        <f>J1042/(100-BE1042)*100</f>
        <v>0</v>
      </c>
      <c r="BE1042" s="28">
        <v>0</v>
      </c>
      <c r="BF1042" s="28">
        <f>1042</f>
        <v>1042</v>
      </c>
      <c r="BH1042" s="18">
        <f>I1042*AO1042</f>
        <v>0</v>
      </c>
      <c r="BI1042" s="18">
        <f>I1042*AP1042</f>
        <v>0</v>
      </c>
      <c r="BJ1042" s="18">
        <f>I1042*J1042</f>
        <v>0</v>
      </c>
      <c r="BK1042" s="18" t="s">
        <v>1634</v>
      </c>
      <c r="BL1042" s="28">
        <v>97</v>
      </c>
    </row>
    <row r="1043" spans="1:15" ht="12.75">
      <c r="A1043" s="3"/>
      <c r="D1043" s="136" t="s">
        <v>1264</v>
      </c>
      <c r="E1043" s="137"/>
      <c r="F1043" s="137"/>
      <c r="G1043" s="137"/>
      <c r="H1043" s="137"/>
      <c r="I1043" s="137"/>
      <c r="J1043" s="137"/>
      <c r="K1043" s="137"/>
      <c r="L1043" s="137"/>
      <c r="M1043" s="137"/>
      <c r="N1043" s="138"/>
      <c r="O1043" s="3"/>
    </row>
    <row r="1044" spans="1:15" ht="12.75">
      <c r="A1044" s="82"/>
      <c r="B1044" s="83"/>
      <c r="C1044" s="83"/>
      <c r="D1044" s="85" t="s">
        <v>8</v>
      </c>
      <c r="G1044" s="86" t="s">
        <v>1524</v>
      </c>
      <c r="H1044" s="83"/>
      <c r="I1044" s="88">
        <v>2</v>
      </c>
      <c r="J1044" s="83"/>
      <c r="K1044" s="83"/>
      <c r="L1044" s="83"/>
      <c r="M1044" s="83"/>
      <c r="N1044" s="80"/>
      <c r="O1044" s="67"/>
    </row>
    <row r="1045" spans="1:15" ht="12.75">
      <c r="A1045" s="3"/>
      <c r="C1045" s="13" t="s">
        <v>302</v>
      </c>
      <c r="D1045" s="145" t="s">
        <v>1265</v>
      </c>
      <c r="E1045" s="146"/>
      <c r="F1045" s="146"/>
      <c r="G1045" s="146"/>
      <c r="H1045" s="146"/>
      <c r="I1045" s="146"/>
      <c r="J1045" s="146"/>
      <c r="K1045" s="146"/>
      <c r="L1045" s="146"/>
      <c r="M1045" s="146"/>
      <c r="N1045" s="147"/>
      <c r="O1045" s="3"/>
    </row>
    <row r="1046" spans="1:15" ht="12.75">
      <c r="A1046" s="3"/>
      <c r="C1046" s="12" t="s">
        <v>296</v>
      </c>
      <c r="D1046" s="142" t="s">
        <v>877</v>
      </c>
      <c r="E1046" s="143"/>
      <c r="F1046" s="143"/>
      <c r="G1046" s="143"/>
      <c r="H1046" s="143"/>
      <c r="I1046" s="143"/>
      <c r="J1046" s="143"/>
      <c r="K1046" s="143"/>
      <c r="L1046" s="143"/>
      <c r="M1046" s="143"/>
      <c r="N1046" s="144"/>
      <c r="O1046" s="3"/>
    </row>
    <row r="1047" spans="1:47" ht="12.75">
      <c r="A1047" s="72"/>
      <c r="B1047" s="73" t="s">
        <v>283</v>
      </c>
      <c r="C1047" s="73" t="s">
        <v>541</v>
      </c>
      <c r="D1047" s="130" t="s">
        <v>1266</v>
      </c>
      <c r="E1047" s="131"/>
      <c r="F1047" s="131"/>
      <c r="G1047" s="132"/>
      <c r="H1047" s="72" t="s">
        <v>6</v>
      </c>
      <c r="I1047" s="72" t="s">
        <v>6</v>
      </c>
      <c r="J1047" s="72" t="s">
        <v>6</v>
      </c>
      <c r="K1047" s="76">
        <f>SUM(K1048:K1099)</f>
        <v>0</v>
      </c>
      <c r="L1047" s="76">
        <f>SUM(L1048:L1099)</f>
        <v>0</v>
      </c>
      <c r="M1047" s="76">
        <f>SUM(M1048:M1099)</f>
        <v>0</v>
      </c>
      <c r="N1047" s="71"/>
      <c r="O1047" s="67"/>
      <c r="AI1047" s="27" t="s">
        <v>283</v>
      </c>
      <c r="AS1047" s="33">
        <f>SUM(AJ1048:AJ1099)</f>
        <v>0</v>
      </c>
      <c r="AT1047" s="33">
        <f>SUM(AK1048:AK1099)</f>
        <v>0</v>
      </c>
      <c r="AU1047" s="33">
        <f>SUM(AL1048:AL1099)</f>
        <v>0</v>
      </c>
    </row>
    <row r="1048" spans="1:64" ht="12.75">
      <c r="A1048" s="81" t="s">
        <v>243</v>
      </c>
      <c r="B1048" s="81" t="s">
        <v>283</v>
      </c>
      <c r="C1048" s="81" t="s">
        <v>542</v>
      </c>
      <c r="D1048" s="139" t="s">
        <v>1267</v>
      </c>
      <c r="E1048" s="134"/>
      <c r="F1048" s="134"/>
      <c r="G1048" s="140"/>
      <c r="H1048" s="81" t="s">
        <v>1540</v>
      </c>
      <c r="I1048" s="87">
        <v>2</v>
      </c>
      <c r="J1048" s="87">
        <v>0</v>
      </c>
      <c r="K1048" s="87">
        <f>I1048*AO1048</f>
        <v>0</v>
      </c>
      <c r="L1048" s="87">
        <f>I1048*AP1048</f>
        <v>0</v>
      </c>
      <c r="M1048" s="87">
        <f>I1048*J1048</f>
        <v>0</v>
      </c>
      <c r="N1048" s="77" t="s">
        <v>1554</v>
      </c>
      <c r="O1048" s="67"/>
      <c r="Z1048" s="28">
        <f>IF(AQ1048="5",BJ1048,0)</f>
        <v>0</v>
      </c>
      <c r="AB1048" s="28">
        <f>IF(AQ1048="1",BH1048,0)</f>
        <v>0</v>
      </c>
      <c r="AC1048" s="28">
        <f>IF(AQ1048="1",BI1048,0)</f>
        <v>0</v>
      </c>
      <c r="AD1048" s="28">
        <f>IF(AQ1048="7",BH1048,0)</f>
        <v>0</v>
      </c>
      <c r="AE1048" s="28">
        <f>IF(AQ1048="7",BI1048,0)</f>
        <v>0</v>
      </c>
      <c r="AF1048" s="28">
        <f>IF(AQ1048="2",BH1048,0)</f>
        <v>0</v>
      </c>
      <c r="AG1048" s="28">
        <f>IF(AQ1048="2",BI1048,0)</f>
        <v>0</v>
      </c>
      <c r="AH1048" s="28">
        <f>IF(AQ1048="0",BJ1048,0)</f>
        <v>0</v>
      </c>
      <c r="AI1048" s="27" t="s">
        <v>283</v>
      </c>
      <c r="AJ1048" s="18">
        <f>IF(AN1048=0,M1048,0)</f>
        <v>0</v>
      </c>
      <c r="AK1048" s="18">
        <f>IF(AN1048=15,M1048,0)</f>
        <v>0</v>
      </c>
      <c r="AL1048" s="18">
        <f>IF(AN1048=21,M1048,0)</f>
        <v>0</v>
      </c>
      <c r="AN1048" s="28">
        <v>15</v>
      </c>
      <c r="AO1048" s="28">
        <f>J1048*0</f>
        <v>0</v>
      </c>
      <c r="AP1048" s="28">
        <f>J1048*(1-0)</f>
        <v>0</v>
      </c>
      <c r="AQ1048" s="29" t="s">
        <v>7</v>
      </c>
      <c r="AV1048" s="28">
        <f>AW1048+AX1048</f>
        <v>0</v>
      </c>
      <c r="AW1048" s="28">
        <f>I1048*AO1048</f>
        <v>0</v>
      </c>
      <c r="AX1048" s="28">
        <f>I1048*AP1048</f>
        <v>0</v>
      </c>
      <c r="AY1048" s="31" t="s">
        <v>1607</v>
      </c>
      <c r="AZ1048" s="31" t="s">
        <v>1613</v>
      </c>
      <c r="BA1048" s="27" t="s">
        <v>1628</v>
      </c>
      <c r="BC1048" s="28">
        <f>AW1048+AX1048</f>
        <v>0</v>
      </c>
      <c r="BD1048" s="28">
        <f>J1048/(100-BE1048)*100</f>
        <v>0</v>
      </c>
      <c r="BE1048" s="28">
        <v>0</v>
      </c>
      <c r="BF1048" s="28">
        <f>1048</f>
        <v>1048</v>
      </c>
      <c r="BH1048" s="18">
        <f>I1048*AO1048</f>
        <v>0</v>
      </c>
      <c r="BI1048" s="18">
        <f>I1048*AP1048</f>
        <v>0</v>
      </c>
      <c r="BJ1048" s="18">
        <f>I1048*J1048</f>
        <v>0</v>
      </c>
      <c r="BK1048" s="18" t="s">
        <v>1634</v>
      </c>
      <c r="BL1048" s="28" t="s">
        <v>541</v>
      </c>
    </row>
    <row r="1049" spans="1:15" ht="12.75">
      <c r="A1049" s="82"/>
      <c r="B1049" s="83"/>
      <c r="C1049" s="83"/>
      <c r="D1049" s="85" t="s">
        <v>8</v>
      </c>
      <c r="G1049" s="86" t="s">
        <v>1525</v>
      </c>
      <c r="H1049" s="83"/>
      <c r="I1049" s="88">
        <v>2</v>
      </c>
      <c r="J1049" s="83"/>
      <c r="K1049" s="83"/>
      <c r="L1049" s="83"/>
      <c r="M1049" s="83"/>
      <c r="N1049" s="80"/>
      <c r="O1049" s="67"/>
    </row>
    <row r="1050" spans="1:15" ht="12.75">
      <c r="A1050" s="3"/>
      <c r="C1050" s="12" t="s">
        <v>296</v>
      </c>
      <c r="D1050" s="142" t="s">
        <v>1268</v>
      </c>
      <c r="E1050" s="143"/>
      <c r="F1050" s="143"/>
      <c r="G1050" s="143"/>
      <c r="H1050" s="143"/>
      <c r="I1050" s="143"/>
      <c r="J1050" s="143"/>
      <c r="K1050" s="143"/>
      <c r="L1050" s="143"/>
      <c r="M1050" s="143"/>
      <c r="N1050" s="144"/>
      <c r="O1050" s="3"/>
    </row>
    <row r="1051" spans="1:64" ht="12.75">
      <c r="A1051" s="81" t="s">
        <v>244</v>
      </c>
      <c r="B1051" s="81" t="s">
        <v>283</v>
      </c>
      <c r="C1051" s="81" t="s">
        <v>543</v>
      </c>
      <c r="D1051" s="139" t="s">
        <v>1269</v>
      </c>
      <c r="E1051" s="134"/>
      <c r="F1051" s="134"/>
      <c r="G1051" s="140"/>
      <c r="H1051" s="81" t="s">
        <v>1540</v>
      </c>
      <c r="I1051" s="87">
        <v>3</v>
      </c>
      <c r="J1051" s="87">
        <v>0</v>
      </c>
      <c r="K1051" s="87">
        <f>I1051*AO1051</f>
        <v>0</v>
      </c>
      <c r="L1051" s="87">
        <f>I1051*AP1051</f>
        <v>0</v>
      </c>
      <c r="M1051" s="87">
        <f>I1051*J1051</f>
        <v>0</v>
      </c>
      <c r="N1051" s="77" t="s">
        <v>1554</v>
      </c>
      <c r="O1051" s="67"/>
      <c r="Z1051" s="28">
        <f>IF(AQ1051="5",BJ1051,0)</f>
        <v>0</v>
      </c>
      <c r="AB1051" s="28">
        <f>IF(AQ1051="1",BH1051,0)</f>
        <v>0</v>
      </c>
      <c r="AC1051" s="28">
        <f>IF(AQ1051="1",BI1051,0)</f>
        <v>0</v>
      </c>
      <c r="AD1051" s="28">
        <f>IF(AQ1051="7",BH1051,0)</f>
        <v>0</v>
      </c>
      <c r="AE1051" s="28">
        <f>IF(AQ1051="7",BI1051,0)</f>
        <v>0</v>
      </c>
      <c r="AF1051" s="28">
        <f>IF(AQ1051="2",BH1051,0)</f>
        <v>0</v>
      </c>
      <c r="AG1051" s="28">
        <f>IF(AQ1051="2",BI1051,0)</f>
        <v>0</v>
      </c>
      <c r="AH1051" s="28">
        <f>IF(AQ1051="0",BJ1051,0)</f>
        <v>0</v>
      </c>
      <c r="AI1051" s="27" t="s">
        <v>283</v>
      </c>
      <c r="AJ1051" s="18">
        <f>IF(AN1051=0,M1051,0)</f>
        <v>0</v>
      </c>
      <c r="AK1051" s="18">
        <f>IF(AN1051=15,M1051,0)</f>
        <v>0</v>
      </c>
      <c r="AL1051" s="18">
        <f>IF(AN1051=21,M1051,0)</f>
        <v>0</v>
      </c>
      <c r="AN1051" s="28">
        <v>15</v>
      </c>
      <c r="AO1051" s="28">
        <f>J1051*0</f>
        <v>0</v>
      </c>
      <c r="AP1051" s="28">
        <f>J1051*(1-0)</f>
        <v>0</v>
      </c>
      <c r="AQ1051" s="29" t="s">
        <v>7</v>
      </c>
      <c r="AV1051" s="28">
        <f>AW1051+AX1051</f>
        <v>0</v>
      </c>
      <c r="AW1051" s="28">
        <f>I1051*AO1051</f>
        <v>0</v>
      </c>
      <c r="AX1051" s="28">
        <f>I1051*AP1051</f>
        <v>0</v>
      </c>
      <c r="AY1051" s="31" t="s">
        <v>1607</v>
      </c>
      <c r="AZ1051" s="31" t="s">
        <v>1613</v>
      </c>
      <c r="BA1051" s="27" t="s">
        <v>1628</v>
      </c>
      <c r="BC1051" s="28">
        <f>AW1051+AX1051</f>
        <v>0</v>
      </c>
      <c r="BD1051" s="28">
        <f>J1051/(100-BE1051)*100</f>
        <v>0</v>
      </c>
      <c r="BE1051" s="28">
        <v>0</v>
      </c>
      <c r="BF1051" s="28">
        <f>1051</f>
        <v>1051</v>
      </c>
      <c r="BH1051" s="18">
        <f>I1051*AO1051</f>
        <v>0</v>
      </c>
      <c r="BI1051" s="18">
        <f>I1051*AP1051</f>
        <v>0</v>
      </c>
      <c r="BJ1051" s="18">
        <f>I1051*J1051</f>
        <v>0</v>
      </c>
      <c r="BK1051" s="18" t="s">
        <v>1634</v>
      </c>
      <c r="BL1051" s="28" t="s">
        <v>541</v>
      </c>
    </row>
    <row r="1052" spans="1:15" ht="12.75">
      <c r="A1052" s="82"/>
      <c r="B1052" s="83"/>
      <c r="C1052" s="83"/>
      <c r="D1052" s="85" t="s">
        <v>9</v>
      </c>
      <c r="G1052" s="86" t="s">
        <v>1526</v>
      </c>
      <c r="H1052" s="83"/>
      <c r="I1052" s="88">
        <v>3</v>
      </c>
      <c r="J1052" s="83"/>
      <c r="K1052" s="83"/>
      <c r="L1052" s="83"/>
      <c r="M1052" s="83"/>
      <c r="N1052" s="80"/>
      <c r="O1052" s="67"/>
    </row>
    <row r="1053" spans="1:15" ht="12.75">
      <c r="A1053" s="3"/>
      <c r="C1053" s="12" t="s">
        <v>296</v>
      </c>
      <c r="D1053" s="142" t="s">
        <v>1268</v>
      </c>
      <c r="E1053" s="143"/>
      <c r="F1053" s="143"/>
      <c r="G1053" s="143"/>
      <c r="H1053" s="143"/>
      <c r="I1053" s="143"/>
      <c r="J1053" s="143"/>
      <c r="K1053" s="143"/>
      <c r="L1053" s="143"/>
      <c r="M1053" s="143"/>
      <c r="N1053" s="144"/>
      <c r="O1053" s="3"/>
    </row>
    <row r="1054" spans="1:64" ht="12.75">
      <c r="A1054" s="81" t="s">
        <v>245</v>
      </c>
      <c r="B1054" s="81" t="s">
        <v>283</v>
      </c>
      <c r="C1054" s="81" t="s">
        <v>544</v>
      </c>
      <c r="D1054" s="139" t="s">
        <v>1270</v>
      </c>
      <c r="E1054" s="134"/>
      <c r="F1054" s="134"/>
      <c r="G1054" s="140"/>
      <c r="H1054" s="81" t="s">
        <v>1542</v>
      </c>
      <c r="I1054" s="87">
        <v>5</v>
      </c>
      <c r="J1054" s="87">
        <v>0</v>
      </c>
      <c r="K1054" s="87">
        <f>I1054*AO1054</f>
        <v>0</v>
      </c>
      <c r="L1054" s="87">
        <f>I1054*AP1054</f>
        <v>0</v>
      </c>
      <c r="M1054" s="87">
        <f>I1054*J1054</f>
        <v>0</v>
      </c>
      <c r="N1054" s="77" t="s">
        <v>1554</v>
      </c>
      <c r="O1054" s="67"/>
      <c r="Z1054" s="28">
        <f>IF(AQ1054="5",BJ1054,0)</f>
        <v>0</v>
      </c>
      <c r="AB1054" s="28">
        <f>IF(AQ1054="1",BH1054,0)</f>
        <v>0</v>
      </c>
      <c r="AC1054" s="28">
        <f>IF(AQ1054="1",BI1054,0)</f>
        <v>0</v>
      </c>
      <c r="AD1054" s="28">
        <f>IF(AQ1054="7",BH1054,0)</f>
        <v>0</v>
      </c>
      <c r="AE1054" s="28">
        <f>IF(AQ1054="7",BI1054,0)</f>
        <v>0</v>
      </c>
      <c r="AF1054" s="28">
        <f>IF(AQ1054="2",BH1054,0)</f>
        <v>0</v>
      </c>
      <c r="AG1054" s="28">
        <f>IF(AQ1054="2",BI1054,0)</f>
        <v>0</v>
      </c>
      <c r="AH1054" s="28">
        <f>IF(AQ1054="0",BJ1054,0)</f>
        <v>0</v>
      </c>
      <c r="AI1054" s="27" t="s">
        <v>283</v>
      </c>
      <c r="AJ1054" s="18">
        <f>IF(AN1054=0,M1054,0)</f>
        <v>0</v>
      </c>
      <c r="AK1054" s="18">
        <f>IF(AN1054=15,M1054,0)</f>
        <v>0</v>
      </c>
      <c r="AL1054" s="18">
        <f>IF(AN1054=21,M1054,0)</f>
        <v>0</v>
      </c>
      <c r="AN1054" s="28">
        <v>15</v>
      </c>
      <c r="AO1054" s="28">
        <f>J1054*0.0709756097560976</f>
        <v>0</v>
      </c>
      <c r="AP1054" s="28">
        <f>J1054*(1-0.0709756097560976)</f>
        <v>0</v>
      </c>
      <c r="AQ1054" s="29" t="s">
        <v>7</v>
      </c>
      <c r="AV1054" s="28">
        <f>AW1054+AX1054</f>
        <v>0</v>
      </c>
      <c r="AW1054" s="28">
        <f>I1054*AO1054</f>
        <v>0</v>
      </c>
      <c r="AX1054" s="28">
        <f>I1054*AP1054</f>
        <v>0</v>
      </c>
      <c r="AY1054" s="31" t="s">
        <v>1607</v>
      </c>
      <c r="AZ1054" s="31" t="s">
        <v>1613</v>
      </c>
      <c r="BA1054" s="27" t="s">
        <v>1628</v>
      </c>
      <c r="BC1054" s="28">
        <f>AW1054+AX1054</f>
        <v>0</v>
      </c>
      <c r="BD1054" s="28">
        <f>J1054/(100-BE1054)*100</f>
        <v>0</v>
      </c>
      <c r="BE1054" s="28">
        <v>0</v>
      </c>
      <c r="BF1054" s="28">
        <f>1054</f>
        <v>1054</v>
      </c>
      <c r="BH1054" s="18">
        <f>I1054*AO1054</f>
        <v>0</v>
      </c>
      <c r="BI1054" s="18">
        <f>I1054*AP1054</f>
        <v>0</v>
      </c>
      <c r="BJ1054" s="18">
        <f>I1054*J1054</f>
        <v>0</v>
      </c>
      <c r="BK1054" s="18" t="s">
        <v>1634</v>
      </c>
      <c r="BL1054" s="28" t="s">
        <v>541</v>
      </c>
    </row>
    <row r="1055" spans="1:15" ht="12.75">
      <c r="A1055" s="82"/>
      <c r="B1055" s="83"/>
      <c r="C1055" s="83"/>
      <c r="D1055" s="85" t="s">
        <v>11</v>
      </c>
      <c r="G1055" s="86"/>
      <c r="H1055" s="83"/>
      <c r="I1055" s="88">
        <v>5</v>
      </c>
      <c r="J1055" s="83"/>
      <c r="K1055" s="83"/>
      <c r="L1055" s="83"/>
      <c r="M1055" s="83"/>
      <c r="N1055" s="80"/>
      <c r="O1055" s="67"/>
    </row>
    <row r="1056" spans="1:15" ht="12.75">
      <c r="A1056" s="3"/>
      <c r="C1056" s="12" t="s">
        <v>296</v>
      </c>
      <c r="D1056" s="142" t="s">
        <v>1268</v>
      </c>
      <c r="E1056" s="143"/>
      <c r="F1056" s="143"/>
      <c r="G1056" s="143"/>
      <c r="H1056" s="143"/>
      <c r="I1056" s="143"/>
      <c r="J1056" s="143"/>
      <c r="K1056" s="143"/>
      <c r="L1056" s="143"/>
      <c r="M1056" s="143"/>
      <c r="N1056" s="144"/>
      <c r="O1056" s="3"/>
    </row>
    <row r="1057" spans="1:64" ht="12.75">
      <c r="A1057" s="81" t="s">
        <v>246</v>
      </c>
      <c r="B1057" s="81" t="s">
        <v>283</v>
      </c>
      <c r="C1057" s="81" t="s">
        <v>545</v>
      </c>
      <c r="D1057" s="139" t="s">
        <v>1271</v>
      </c>
      <c r="E1057" s="134"/>
      <c r="F1057" s="134"/>
      <c r="G1057" s="140"/>
      <c r="H1057" s="81" t="s">
        <v>1542</v>
      </c>
      <c r="I1057" s="87">
        <v>9</v>
      </c>
      <c r="J1057" s="87">
        <v>0</v>
      </c>
      <c r="K1057" s="87">
        <f>I1057*AO1057</f>
        <v>0</v>
      </c>
      <c r="L1057" s="87">
        <f>I1057*AP1057</f>
        <v>0</v>
      </c>
      <c r="M1057" s="87">
        <f>I1057*J1057</f>
        <v>0</v>
      </c>
      <c r="N1057" s="77" t="s">
        <v>1554</v>
      </c>
      <c r="O1057" s="67"/>
      <c r="Z1057" s="28">
        <f>IF(AQ1057="5",BJ1057,0)</f>
        <v>0</v>
      </c>
      <c r="AB1057" s="28">
        <f>IF(AQ1057="1",BH1057,0)</f>
        <v>0</v>
      </c>
      <c r="AC1057" s="28">
        <f>IF(AQ1057="1",BI1057,0)</f>
        <v>0</v>
      </c>
      <c r="AD1057" s="28">
        <f>IF(AQ1057="7",BH1057,0)</f>
        <v>0</v>
      </c>
      <c r="AE1057" s="28">
        <f>IF(AQ1057="7",BI1057,0)</f>
        <v>0</v>
      </c>
      <c r="AF1057" s="28">
        <f>IF(AQ1057="2",BH1057,0)</f>
        <v>0</v>
      </c>
      <c r="AG1057" s="28">
        <f>IF(AQ1057="2",BI1057,0)</f>
        <v>0</v>
      </c>
      <c r="AH1057" s="28">
        <f>IF(AQ1057="0",BJ1057,0)</f>
        <v>0</v>
      </c>
      <c r="AI1057" s="27" t="s">
        <v>283</v>
      </c>
      <c r="AJ1057" s="18">
        <f>IF(AN1057=0,M1057,0)</f>
        <v>0</v>
      </c>
      <c r="AK1057" s="18">
        <f>IF(AN1057=15,M1057,0)</f>
        <v>0</v>
      </c>
      <c r="AL1057" s="18">
        <f>IF(AN1057=21,M1057,0)</f>
        <v>0</v>
      </c>
      <c r="AN1057" s="28">
        <v>15</v>
      </c>
      <c r="AO1057" s="28">
        <f>J1057*0</f>
        <v>0</v>
      </c>
      <c r="AP1057" s="28">
        <f>J1057*(1-0)</f>
        <v>0</v>
      </c>
      <c r="AQ1057" s="29" t="s">
        <v>7</v>
      </c>
      <c r="AV1057" s="28">
        <f>AW1057+AX1057</f>
        <v>0</v>
      </c>
      <c r="AW1057" s="28">
        <f>I1057*AO1057</f>
        <v>0</v>
      </c>
      <c r="AX1057" s="28">
        <f>I1057*AP1057</f>
        <v>0</v>
      </c>
      <c r="AY1057" s="31" t="s">
        <v>1607</v>
      </c>
      <c r="AZ1057" s="31" t="s">
        <v>1613</v>
      </c>
      <c r="BA1057" s="27" t="s">
        <v>1628</v>
      </c>
      <c r="BC1057" s="28">
        <f>AW1057+AX1057</f>
        <v>0</v>
      </c>
      <c r="BD1057" s="28">
        <f>J1057/(100-BE1057)*100</f>
        <v>0</v>
      </c>
      <c r="BE1057" s="28">
        <v>0</v>
      </c>
      <c r="BF1057" s="28">
        <f>1057</f>
        <v>1057</v>
      </c>
      <c r="BH1057" s="18">
        <f>I1057*AO1057</f>
        <v>0</v>
      </c>
      <c r="BI1057" s="18">
        <f>I1057*AP1057</f>
        <v>0</v>
      </c>
      <c r="BJ1057" s="18">
        <f>I1057*J1057</f>
        <v>0</v>
      </c>
      <c r="BK1057" s="18" t="s">
        <v>1634</v>
      </c>
      <c r="BL1057" s="28" t="s">
        <v>541</v>
      </c>
    </row>
    <row r="1058" spans="1:15" ht="12.75">
      <c r="A1058" s="82"/>
      <c r="B1058" s="83"/>
      <c r="C1058" s="83"/>
      <c r="D1058" s="85" t="s">
        <v>15</v>
      </c>
      <c r="G1058" s="86"/>
      <c r="H1058" s="83"/>
      <c r="I1058" s="88">
        <v>9</v>
      </c>
      <c r="J1058" s="83"/>
      <c r="K1058" s="83"/>
      <c r="L1058" s="83"/>
      <c r="M1058" s="83"/>
      <c r="N1058" s="80"/>
      <c r="O1058" s="67"/>
    </row>
    <row r="1059" spans="1:15" ht="12.75">
      <c r="A1059" s="3"/>
      <c r="C1059" s="12" t="s">
        <v>296</v>
      </c>
      <c r="D1059" s="142" t="s">
        <v>1268</v>
      </c>
      <c r="E1059" s="143"/>
      <c r="F1059" s="143"/>
      <c r="G1059" s="143"/>
      <c r="H1059" s="143"/>
      <c r="I1059" s="143"/>
      <c r="J1059" s="143"/>
      <c r="K1059" s="143"/>
      <c r="L1059" s="143"/>
      <c r="M1059" s="143"/>
      <c r="N1059" s="144"/>
      <c r="O1059" s="3"/>
    </row>
    <row r="1060" spans="1:64" ht="12.75">
      <c r="A1060" s="81" t="s">
        <v>247</v>
      </c>
      <c r="B1060" s="81" t="s">
        <v>283</v>
      </c>
      <c r="C1060" s="81" t="s">
        <v>546</v>
      </c>
      <c r="D1060" s="139" t="s">
        <v>1272</v>
      </c>
      <c r="E1060" s="134"/>
      <c r="F1060" s="134"/>
      <c r="G1060" s="140"/>
      <c r="H1060" s="81" t="s">
        <v>1542</v>
      </c>
      <c r="I1060" s="87">
        <v>7</v>
      </c>
      <c r="J1060" s="87">
        <v>0</v>
      </c>
      <c r="K1060" s="87">
        <f>I1060*AO1060</f>
        <v>0</v>
      </c>
      <c r="L1060" s="87">
        <f>I1060*AP1060</f>
        <v>0</v>
      </c>
      <c r="M1060" s="87">
        <f>I1060*J1060</f>
        <v>0</v>
      </c>
      <c r="N1060" s="77" t="s">
        <v>1554</v>
      </c>
      <c r="O1060" s="67"/>
      <c r="Z1060" s="28">
        <f>IF(AQ1060="5",BJ1060,0)</f>
        <v>0</v>
      </c>
      <c r="AB1060" s="28">
        <f>IF(AQ1060="1",BH1060,0)</f>
        <v>0</v>
      </c>
      <c r="AC1060" s="28">
        <f>IF(AQ1060="1",BI1060,0)</f>
        <v>0</v>
      </c>
      <c r="AD1060" s="28">
        <f>IF(AQ1060="7",BH1060,0)</f>
        <v>0</v>
      </c>
      <c r="AE1060" s="28">
        <f>IF(AQ1060="7",BI1060,0)</f>
        <v>0</v>
      </c>
      <c r="AF1060" s="28">
        <f>IF(AQ1060="2",BH1060,0)</f>
        <v>0</v>
      </c>
      <c r="AG1060" s="28">
        <f>IF(AQ1060="2",BI1060,0)</f>
        <v>0</v>
      </c>
      <c r="AH1060" s="28">
        <f>IF(AQ1060="0",BJ1060,0)</f>
        <v>0</v>
      </c>
      <c r="AI1060" s="27" t="s">
        <v>283</v>
      </c>
      <c r="AJ1060" s="18">
        <f>IF(AN1060=0,M1060,0)</f>
        <v>0</v>
      </c>
      <c r="AK1060" s="18">
        <f>IF(AN1060=15,M1060,0)</f>
        <v>0</v>
      </c>
      <c r="AL1060" s="18">
        <f>IF(AN1060=21,M1060,0)</f>
        <v>0</v>
      </c>
      <c r="AN1060" s="28">
        <v>15</v>
      </c>
      <c r="AO1060" s="28">
        <f>J1060*0</f>
        <v>0</v>
      </c>
      <c r="AP1060" s="28">
        <f>J1060*(1-0)</f>
        <v>0</v>
      </c>
      <c r="AQ1060" s="29" t="s">
        <v>7</v>
      </c>
      <c r="AV1060" s="28">
        <f>AW1060+AX1060</f>
        <v>0</v>
      </c>
      <c r="AW1060" s="28">
        <f>I1060*AO1060</f>
        <v>0</v>
      </c>
      <c r="AX1060" s="28">
        <f>I1060*AP1060</f>
        <v>0</v>
      </c>
      <c r="AY1060" s="31" t="s">
        <v>1607</v>
      </c>
      <c r="AZ1060" s="31" t="s">
        <v>1613</v>
      </c>
      <c r="BA1060" s="27" t="s">
        <v>1628</v>
      </c>
      <c r="BC1060" s="28">
        <f>AW1060+AX1060</f>
        <v>0</v>
      </c>
      <c r="BD1060" s="28">
        <f>J1060/(100-BE1060)*100</f>
        <v>0</v>
      </c>
      <c r="BE1060" s="28">
        <v>0</v>
      </c>
      <c r="BF1060" s="28">
        <f>1060</f>
        <v>1060</v>
      </c>
      <c r="BH1060" s="18">
        <f>I1060*AO1060</f>
        <v>0</v>
      </c>
      <c r="BI1060" s="18">
        <f>I1060*AP1060</f>
        <v>0</v>
      </c>
      <c r="BJ1060" s="18">
        <f>I1060*J1060</f>
        <v>0</v>
      </c>
      <c r="BK1060" s="18" t="s">
        <v>1634</v>
      </c>
      <c r="BL1060" s="28" t="s">
        <v>541</v>
      </c>
    </row>
    <row r="1061" spans="1:15" ht="12.75">
      <c r="A1061" s="82"/>
      <c r="B1061" s="83"/>
      <c r="C1061" s="83"/>
      <c r="D1061" s="85" t="s">
        <v>13</v>
      </c>
      <c r="G1061" s="86"/>
      <c r="H1061" s="83"/>
      <c r="I1061" s="88">
        <v>7</v>
      </c>
      <c r="J1061" s="83"/>
      <c r="K1061" s="83"/>
      <c r="L1061" s="83"/>
      <c r="M1061" s="83"/>
      <c r="N1061" s="80"/>
      <c r="O1061" s="67"/>
    </row>
    <row r="1062" spans="1:15" ht="12.75">
      <c r="A1062" s="3"/>
      <c r="C1062" s="12" t="s">
        <v>296</v>
      </c>
      <c r="D1062" s="142" t="s">
        <v>1268</v>
      </c>
      <c r="E1062" s="143"/>
      <c r="F1062" s="143"/>
      <c r="G1062" s="143"/>
      <c r="H1062" s="143"/>
      <c r="I1062" s="143"/>
      <c r="J1062" s="143"/>
      <c r="K1062" s="143"/>
      <c r="L1062" s="143"/>
      <c r="M1062" s="143"/>
      <c r="N1062" s="144"/>
      <c r="O1062" s="3"/>
    </row>
    <row r="1063" spans="1:64" ht="12.75">
      <c r="A1063" s="81" t="s">
        <v>248</v>
      </c>
      <c r="B1063" s="81" t="s">
        <v>283</v>
      </c>
      <c r="C1063" s="81" t="s">
        <v>547</v>
      </c>
      <c r="D1063" s="139" t="s">
        <v>1273</v>
      </c>
      <c r="E1063" s="134"/>
      <c r="F1063" s="134"/>
      <c r="G1063" s="140"/>
      <c r="H1063" s="81" t="s">
        <v>1542</v>
      </c>
      <c r="I1063" s="87">
        <v>2</v>
      </c>
      <c r="J1063" s="87">
        <v>0</v>
      </c>
      <c r="K1063" s="87">
        <f>I1063*AO1063</f>
        <v>0</v>
      </c>
      <c r="L1063" s="87">
        <f>I1063*AP1063</f>
        <v>0</v>
      </c>
      <c r="M1063" s="87">
        <f>I1063*J1063</f>
        <v>0</v>
      </c>
      <c r="N1063" s="77" t="s">
        <v>1554</v>
      </c>
      <c r="O1063" s="67"/>
      <c r="Z1063" s="28">
        <f>IF(AQ1063="5",BJ1063,0)</f>
        <v>0</v>
      </c>
      <c r="AB1063" s="28">
        <f>IF(AQ1063="1",BH1063,0)</f>
        <v>0</v>
      </c>
      <c r="AC1063" s="28">
        <f>IF(AQ1063="1",BI1063,0)</f>
        <v>0</v>
      </c>
      <c r="AD1063" s="28">
        <f>IF(AQ1063="7",BH1063,0)</f>
        <v>0</v>
      </c>
      <c r="AE1063" s="28">
        <f>IF(AQ1063="7",BI1063,0)</f>
        <v>0</v>
      </c>
      <c r="AF1063" s="28">
        <f>IF(AQ1063="2",BH1063,0)</f>
        <v>0</v>
      </c>
      <c r="AG1063" s="28">
        <f>IF(AQ1063="2",BI1063,0)</f>
        <v>0</v>
      </c>
      <c r="AH1063" s="28">
        <f>IF(AQ1063="0",BJ1063,0)</f>
        <v>0</v>
      </c>
      <c r="AI1063" s="27" t="s">
        <v>283</v>
      </c>
      <c r="AJ1063" s="18">
        <f>IF(AN1063=0,M1063,0)</f>
        <v>0</v>
      </c>
      <c r="AK1063" s="18">
        <f>IF(AN1063=15,M1063,0)</f>
        <v>0</v>
      </c>
      <c r="AL1063" s="18">
        <f>IF(AN1063=21,M1063,0)</f>
        <v>0</v>
      </c>
      <c r="AN1063" s="28">
        <v>15</v>
      </c>
      <c r="AO1063" s="28">
        <f>J1063*0</f>
        <v>0</v>
      </c>
      <c r="AP1063" s="28">
        <f>J1063*(1-0)</f>
        <v>0</v>
      </c>
      <c r="AQ1063" s="29" t="s">
        <v>7</v>
      </c>
      <c r="AV1063" s="28">
        <f>AW1063+AX1063</f>
        <v>0</v>
      </c>
      <c r="AW1063" s="28">
        <f>I1063*AO1063</f>
        <v>0</v>
      </c>
      <c r="AX1063" s="28">
        <f>I1063*AP1063</f>
        <v>0</v>
      </c>
      <c r="AY1063" s="31" t="s">
        <v>1607</v>
      </c>
      <c r="AZ1063" s="31" t="s">
        <v>1613</v>
      </c>
      <c r="BA1063" s="27" t="s">
        <v>1628</v>
      </c>
      <c r="BC1063" s="28">
        <f>AW1063+AX1063</f>
        <v>0</v>
      </c>
      <c r="BD1063" s="28">
        <f>J1063/(100-BE1063)*100</f>
        <v>0</v>
      </c>
      <c r="BE1063" s="28">
        <v>0</v>
      </c>
      <c r="BF1063" s="28">
        <f>1063</f>
        <v>1063</v>
      </c>
      <c r="BH1063" s="18">
        <f>I1063*AO1063</f>
        <v>0</v>
      </c>
      <c r="BI1063" s="18">
        <f>I1063*AP1063</f>
        <v>0</v>
      </c>
      <c r="BJ1063" s="18">
        <f>I1063*J1063</f>
        <v>0</v>
      </c>
      <c r="BK1063" s="18" t="s">
        <v>1634</v>
      </c>
      <c r="BL1063" s="28" t="s">
        <v>541</v>
      </c>
    </row>
    <row r="1064" spans="1:15" ht="12.75">
      <c r="A1064" s="82"/>
      <c r="B1064" s="83"/>
      <c r="C1064" s="83"/>
      <c r="D1064" s="85" t="s">
        <v>8</v>
      </c>
      <c r="G1064" s="86"/>
      <c r="H1064" s="83"/>
      <c r="I1064" s="88">
        <v>2</v>
      </c>
      <c r="J1064" s="83"/>
      <c r="K1064" s="83"/>
      <c r="L1064" s="83"/>
      <c r="M1064" s="83"/>
      <c r="N1064" s="80"/>
      <c r="O1064" s="67"/>
    </row>
    <row r="1065" spans="1:15" ht="12.75">
      <c r="A1065" s="3"/>
      <c r="C1065" s="12" t="s">
        <v>296</v>
      </c>
      <c r="D1065" s="142" t="s">
        <v>1268</v>
      </c>
      <c r="E1065" s="143"/>
      <c r="F1065" s="143"/>
      <c r="G1065" s="143"/>
      <c r="H1065" s="143"/>
      <c r="I1065" s="143"/>
      <c r="J1065" s="143"/>
      <c r="K1065" s="143"/>
      <c r="L1065" s="143"/>
      <c r="M1065" s="143"/>
      <c r="N1065" s="144"/>
      <c r="O1065" s="3"/>
    </row>
    <row r="1066" spans="1:64" ht="12.75">
      <c r="A1066" s="81" t="s">
        <v>249</v>
      </c>
      <c r="B1066" s="81" t="s">
        <v>283</v>
      </c>
      <c r="C1066" s="81" t="s">
        <v>548</v>
      </c>
      <c r="D1066" s="139" t="s">
        <v>1274</v>
      </c>
      <c r="E1066" s="134"/>
      <c r="F1066" s="134"/>
      <c r="G1066" s="140"/>
      <c r="H1066" s="81" t="s">
        <v>1542</v>
      </c>
      <c r="I1066" s="87">
        <v>10</v>
      </c>
      <c r="J1066" s="87">
        <v>0</v>
      </c>
      <c r="K1066" s="87">
        <f>I1066*AO1066</f>
        <v>0</v>
      </c>
      <c r="L1066" s="87">
        <f>I1066*AP1066</f>
        <v>0</v>
      </c>
      <c r="M1066" s="87">
        <f>I1066*J1066</f>
        <v>0</v>
      </c>
      <c r="N1066" s="77" t="s">
        <v>1554</v>
      </c>
      <c r="O1066" s="67"/>
      <c r="Z1066" s="28">
        <f>IF(AQ1066="5",BJ1066,0)</f>
        <v>0</v>
      </c>
      <c r="AB1066" s="28">
        <f>IF(AQ1066="1",BH1066,0)</f>
        <v>0</v>
      </c>
      <c r="AC1066" s="28">
        <f>IF(AQ1066="1",BI1066,0)</f>
        <v>0</v>
      </c>
      <c r="AD1066" s="28">
        <f>IF(AQ1066="7",BH1066,0)</f>
        <v>0</v>
      </c>
      <c r="AE1066" s="28">
        <f>IF(AQ1066="7",BI1066,0)</f>
        <v>0</v>
      </c>
      <c r="AF1066" s="28">
        <f>IF(AQ1066="2",BH1066,0)</f>
        <v>0</v>
      </c>
      <c r="AG1066" s="28">
        <f>IF(AQ1066="2",BI1066,0)</f>
        <v>0</v>
      </c>
      <c r="AH1066" s="28">
        <f>IF(AQ1066="0",BJ1066,0)</f>
        <v>0</v>
      </c>
      <c r="AI1066" s="27" t="s">
        <v>283</v>
      </c>
      <c r="AJ1066" s="18">
        <f>IF(AN1066=0,M1066,0)</f>
        <v>0</v>
      </c>
      <c r="AK1066" s="18">
        <f>IF(AN1066=15,M1066,0)</f>
        <v>0</v>
      </c>
      <c r="AL1066" s="18">
        <f>IF(AN1066=21,M1066,0)</f>
        <v>0</v>
      </c>
      <c r="AN1066" s="28">
        <v>15</v>
      </c>
      <c r="AO1066" s="28">
        <f>J1066*0.0708213075668214</f>
        <v>0</v>
      </c>
      <c r="AP1066" s="28">
        <f>J1066*(1-0.0708213075668214)</f>
        <v>0</v>
      </c>
      <c r="AQ1066" s="29" t="s">
        <v>7</v>
      </c>
      <c r="AV1066" s="28">
        <f>AW1066+AX1066</f>
        <v>0</v>
      </c>
      <c r="AW1066" s="28">
        <f>I1066*AO1066</f>
        <v>0</v>
      </c>
      <c r="AX1066" s="28">
        <f>I1066*AP1066</f>
        <v>0</v>
      </c>
      <c r="AY1066" s="31" t="s">
        <v>1607</v>
      </c>
      <c r="AZ1066" s="31" t="s">
        <v>1613</v>
      </c>
      <c r="BA1066" s="27" t="s">
        <v>1628</v>
      </c>
      <c r="BC1066" s="28">
        <f>AW1066+AX1066</f>
        <v>0</v>
      </c>
      <c r="BD1066" s="28">
        <f>J1066/(100-BE1066)*100</f>
        <v>0</v>
      </c>
      <c r="BE1066" s="28">
        <v>0</v>
      </c>
      <c r="BF1066" s="28">
        <f>1066</f>
        <v>1066</v>
      </c>
      <c r="BH1066" s="18">
        <f>I1066*AO1066</f>
        <v>0</v>
      </c>
      <c r="BI1066" s="18">
        <f>I1066*AP1066</f>
        <v>0</v>
      </c>
      <c r="BJ1066" s="18">
        <f>I1066*J1066</f>
        <v>0</v>
      </c>
      <c r="BK1066" s="18" t="s">
        <v>1634</v>
      </c>
      <c r="BL1066" s="28" t="s">
        <v>541</v>
      </c>
    </row>
    <row r="1067" spans="1:15" ht="12.75">
      <c r="A1067" s="82"/>
      <c r="B1067" s="83"/>
      <c r="C1067" s="83"/>
      <c r="D1067" s="85" t="s">
        <v>16</v>
      </c>
      <c r="G1067" s="86"/>
      <c r="H1067" s="83"/>
      <c r="I1067" s="88">
        <v>10</v>
      </c>
      <c r="J1067" s="83"/>
      <c r="K1067" s="83"/>
      <c r="L1067" s="83"/>
      <c r="M1067" s="83"/>
      <c r="N1067" s="80"/>
      <c r="O1067" s="67"/>
    </row>
    <row r="1068" spans="1:15" ht="12.75">
      <c r="A1068" s="3"/>
      <c r="C1068" s="12" t="s">
        <v>296</v>
      </c>
      <c r="D1068" s="142" t="s">
        <v>1268</v>
      </c>
      <c r="E1068" s="143"/>
      <c r="F1068" s="143"/>
      <c r="G1068" s="143"/>
      <c r="H1068" s="143"/>
      <c r="I1068" s="143"/>
      <c r="J1068" s="143"/>
      <c r="K1068" s="143"/>
      <c r="L1068" s="143"/>
      <c r="M1068" s="143"/>
      <c r="N1068" s="144"/>
      <c r="O1068" s="3"/>
    </row>
    <row r="1069" spans="1:64" ht="12.75">
      <c r="A1069" s="81" t="s">
        <v>250</v>
      </c>
      <c r="B1069" s="81" t="s">
        <v>283</v>
      </c>
      <c r="C1069" s="81" t="s">
        <v>549</v>
      </c>
      <c r="D1069" s="139" t="s">
        <v>1275</v>
      </c>
      <c r="E1069" s="134"/>
      <c r="F1069" s="134"/>
      <c r="G1069" s="140"/>
      <c r="H1069" s="81" t="s">
        <v>1542</v>
      </c>
      <c r="I1069" s="87">
        <v>5</v>
      </c>
      <c r="J1069" s="87">
        <v>0</v>
      </c>
      <c r="K1069" s="87">
        <f>I1069*AO1069</f>
        <v>0</v>
      </c>
      <c r="L1069" s="87">
        <f>I1069*AP1069</f>
        <v>0</v>
      </c>
      <c r="M1069" s="87">
        <f>I1069*J1069</f>
        <v>0</v>
      </c>
      <c r="N1069" s="77" t="s">
        <v>1554</v>
      </c>
      <c r="O1069" s="67"/>
      <c r="Z1069" s="28">
        <f>IF(AQ1069="5",BJ1069,0)</f>
        <v>0</v>
      </c>
      <c r="AB1069" s="28">
        <f>IF(AQ1069="1",BH1069,0)</f>
        <v>0</v>
      </c>
      <c r="AC1069" s="28">
        <f>IF(AQ1069="1",BI1069,0)</f>
        <v>0</v>
      </c>
      <c r="AD1069" s="28">
        <f>IF(AQ1069="7",BH1069,0)</f>
        <v>0</v>
      </c>
      <c r="AE1069" s="28">
        <f>IF(AQ1069="7",BI1069,0)</f>
        <v>0</v>
      </c>
      <c r="AF1069" s="28">
        <f>IF(AQ1069="2",BH1069,0)</f>
        <v>0</v>
      </c>
      <c r="AG1069" s="28">
        <f>IF(AQ1069="2",BI1069,0)</f>
        <v>0</v>
      </c>
      <c r="AH1069" s="28">
        <f>IF(AQ1069="0",BJ1069,0)</f>
        <v>0</v>
      </c>
      <c r="AI1069" s="27" t="s">
        <v>283</v>
      </c>
      <c r="AJ1069" s="18">
        <f>IF(AN1069=0,M1069,0)</f>
        <v>0</v>
      </c>
      <c r="AK1069" s="18">
        <f>IF(AN1069=15,M1069,0)</f>
        <v>0</v>
      </c>
      <c r="AL1069" s="18">
        <f>IF(AN1069=21,M1069,0)</f>
        <v>0</v>
      </c>
      <c r="AN1069" s="28">
        <v>15</v>
      </c>
      <c r="AO1069" s="28">
        <f>J1069*0</f>
        <v>0</v>
      </c>
      <c r="AP1069" s="28">
        <f>J1069*(1-0)</f>
        <v>0</v>
      </c>
      <c r="AQ1069" s="29" t="s">
        <v>7</v>
      </c>
      <c r="AV1069" s="28">
        <f>AW1069+AX1069</f>
        <v>0</v>
      </c>
      <c r="AW1069" s="28">
        <f>I1069*AO1069</f>
        <v>0</v>
      </c>
      <c r="AX1069" s="28">
        <f>I1069*AP1069</f>
        <v>0</v>
      </c>
      <c r="AY1069" s="31" t="s">
        <v>1607</v>
      </c>
      <c r="AZ1069" s="31" t="s">
        <v>1613</v>
      </c>
      <c r="BA1069" s="27" t="s">
        <v>1628</v>
      </c>
      <c r="BC1069" s="28">
        <f>AW1069+AX1069</f>
        <v>0</v>
      </c>
      <c r="BD1069" s="28">
        <f>J1069/(100-BE1069)*100</f>
        <v>0</v>
      </c>
      <c r="BE1069" s="28">
        <v>0</v>
      </c>
      <c r="BF1069" s="28">
        <f>1069</f>
        <v>1069</v>
      </c>
      <c r="BH1069" s="18">
        <f>I1069*AO1069</f>
        <v>0</v>
      </c>
      <c r="BI1069" s="18">
        <f>I1069*AP1069</f>
        <v>0</v>
      </c>
      <c r="BJ1069" s="18">
        <f>I1069*J1069</f>
        <v>0</v>
      </c>
      <c r="BK1069" s="18" t="s">
        <v>1634</v>
      </c>
      <c r="BL1069" s="28" t="s">
        <v>541</v>
      </c>
    </row>
    <row r="1070" spans="1:15" ht="12.75">
      <c r="A1070" s="82"/>
      <c r="B1070" s="83"/>
      <c r="C1070" s="83"/>
      <c r="D1070" s="85" t="s">
        <v>11</v>
      </c>
      <c r="G1070" s="86"/>
      <c r="H1070" s="83"/>
      <c r="I1070" s="88">
        <v>5</v>
      </c>
      <c r="J1070" s="83"/>
      <c r="K1070" s="83"/>
      <c r="L1070" s="83"/>
      <c r="M1070" s="83"/>
      <c r="N1070" s="80"/>
      <c r="O1070" s="67"/>
    </row>
    <row r="1071" spans="1:15" ht="12.75">
      <c r="A1071" s="3"/>
      <c r="C1071" s="12" t="s">
        <v>296</v>
      </c>
      <c r="D1071" s="142" t="s">
        <v>1268</v>
      </c>
      <c r="E1071" s="143"/>
      <c r="F1071" s="143"/>
      <c r="G1071" s="143"/>
      <c r="H1071" s="143"/>
      <c r="I1071" s="143"/>
      <c r="J1071" s="143"/>
      <c r="K1071" s="143"/>
      <c r="L1071" s="143"/>
      <c r="M1071" s="143"/>
      <c r="N1071" s="144"/>
      <c r="O1071" s="3"/>
    </row>
    <row r="1072" spans="1:64" ht="12.75">
      <c r="A1072" s="81" t="s">
        <v>251</v>
      </c>
      <c r="B1072" s="81" t="s">
        <v>283</v>
      </c>
      <c r="C1072" s="81" t="s">
        <v>550</v>
      </c>
      <c r="D1072" s="139" t="s">
        <v>1276</v>
      </c>
      <c r="E1072" s="134"/>
      <c r="F1072" s="134"/>
      <c r="G1072" s="140"/>
      <c r="H1072" s="81" t="s">
        <v>1542</v>
      </c>
      <c r="I1072" s="87">
        <v>5</v>
      </c>
      <c r="J1072" s="87">
        <v>0</v>
      </c>
      <c r="K1072" s="87">
        <f>I1072*AO1072</f>
        <v>0</v>
      </c>
      <c r="L1072" s="87">
        <f>I1072*AP1072</f>
        <v>0</v>
      </c>
      <c r="M1072" s="87">
        <f>I1072*J1072</f>
        <v>0</v>
      </c>
      <c r="N1072" s="77" t="s">
        <v>1554</v>
      </c>
      <c r="O1072" s="67"/>
      <c r="Z1072" s="28">
        <f>IF(AQ1072="5",BJ1072,0)</f>
        <v>0</v>
      </c>
      <c r="AB1072" s="28">
        <f>IF(AQ1072="1",BH1072,0)</f>
        <v>0</v>
      </c>
      <c r="AC1072" s="28">
        <f>IF(AQ1072="1",BI1072,0)</f>
        <v>0</v>
      </c>
      <c r="AD1072" s="28">
        <f>IF(AQ1072="7",BH1072,0)</f>
        <v>0</v>
      </c>
      <c r="AE1072" s="28">
        <f>IF(AQ1072="7",BI1072,0)</f>
        <v>0</v>
      </c>
      <c r="AF1072" s="28">
        <f>IF(AQ1072="2",BH1072,0)</f>
        <v>0</v>
      </c>
      <c r="AG1072" s="28">
        <f>IF(AQ1072="2",BI1072,0)</f>
        <v>0</v>
      </c>
      <c r="AH1072" s="28">
        <f>IF(AQ1072="0",BJ1072,0)</f>
        <v>0</v>
      </c>
      <c r="AI1072" s="27" t="s">
        <v>283</v>
      </c>
      <c r="AJ1072" s="18">
        <f>IF(AN1072=0,M1072,0)</f>
        <v>0</v>
      </c>
      <c r="AK1072" s="18">
        <f>IF(AN1072=15,M1072,0)</f>
        <v>0</v>
      </c>
      <c r="AL1072" s="18">
        <f>IF(AN1072=21,M1072,0)</f>
        <v>0</v>
      </c>
      <c r="AN1072" s="28">
        <v>15</v>
      </c>
      <c r="AO1072" s="28">
        <f>J1072*0</f>
        <v>0</v>
      </c>
      <c r="AP1072" s="28">
        <f>J1072*(1-0)</f>
        <v>0</v>
      </c>
      <c r="AQ1072" s="29" t="s">
        <v>7</v>
      </c>
      <c r="AV1072" s="28">
        <f>AW1072+AX1072</f>
        <v>0</v>
      </c>
      <c r="AW1072" s="28">
        <f>I1072*AO1072</f>
        <v>0</v>
      </c>
      <c r="AX1072" s="28">
        <f>I1072*AP1072</f>
        <v>0</v>
      </c>
      <c r="AY1072" s="31" t="s">
        <v>1607</v>
      </c>
      <c r="AZ1072" s="31" t="s">
        <v>1613</v>
      </c>
      <c r="BA1072" s="27" t="s">
        <v>1628</v>
      </c>
      <c r="BC1072" s="28">
        <f>AW1072+AX1072</f>
        <v>0</v>
      </c>
      <c r="BD1072" s="28">
        <f>J1072/(100-BE1072)*100</f>
        <v>0</v>
      </c>
      <c r="BE1072" s="28">
        <v>0</v>
      </c>
      <c r="BF1072" s="28">
        <f>1072</f>
        <v>1072</v>
      </c>
      <c r="BH1072" s="18">
        <f>I1072*AO1072</f>
        <v>0</v>
      </c>
      <c r="BI1072" s="18">
        <f>I1072*AP1072</f>
        <v>0</v>
      </c>
      <c r="BJ1072" s="18">
        <f>I1072*J1072</f>
        <v>0</v>
      </c>
      <c r="BK1072" s="18" t="s">
        <v>1634</v>
      </c>
      <c r="BL1072" s="28" t="s">
        <v>541</v>
      </c>
    </row>
    <row r="1073" spans="1:15" ht="12.75">
      <c r="A1073" s="82"/>
      <c r="B1073" s="83"/>
      <c r="C1073" s="83"/>
      <c r="D1073" s="85" t="s">
        <v>11</v>
      </c>
      <c r="G1073" s="86"/>
      <c r="H1073" s="83"/>
      <c r="I1073" s="88">
        <v>5</v>
      </c>
      <c r="J1073" s="83"/>
      <c r="K1073" s="83"/>
      <c r="L1073" s="83"/>
      <c r="M1073" s="83"/>
      <c r="N1073" s="80"/>
      <c r="O1073" s="67"/>
    </row>
    <row r="1074" spans="1:15" ht="12.75">
      <c r="A1074" s="3"/>
      <c r="C1074" s="12" t="s">
        <v>296</v>
      </c>
      <c r="D1074" s="142" t="s">
        <v>1268</v>
      </c>
      <c r="E1074" s="143"/>
      <c r="F1074" s="143"/>
      <c r="G1074" s="143"/>
      <c r="H1074" s="143"/>
      <c r="I1074" s="143"/>
      <c r="J1074" s="143"/>
      <c r="K1074" s="143"/>
      <c r="L1074" s="143"/>
      <c r="M1074" s="143"/>
      <c r="N1074" s="144"/>
      <c r="O1074" s="3"/>
    </row>
    <row r="1075" spans="1:64" ht="12.75">
      <c r="A1075" s="81" t="s">
        <v>252</v>
      </c>
      <c r="B1075" s="81" t="s">
        <v>283</v>
      </c>
      <c r="C1075" s="81" t="s">
        <v>551</v>
      </c>
      <c r="D1075" s="139" t="s">
        <v>1277</v>
      </c>
      <c r="E1075" s="134"/>
      <c r="F1075" s="134"/>
      <c r="G1075" s="140"/>
      <c r="H1075" s="81" t="s">
        <v>1542</v>
      </c>
      <c r="I1075" s="87">
        <v>3</v>
      </c>
      <c r="J1075" s="87">
        <v>0</v>
      </c>
      <c r="K1075" s="87">
        <f>I1075*AO1075</f>
        <v>0</v>
      </c>
      <c r="L1075" s="87">
        <f>I1075*AP1075</f>
        <v>0</v>
      </c>
      <c r="M1075" s="87">
        <f>I1075*J1075</f>
        <v>0</v>
      </c>
      <c r="N1075" s="77" t="s">
        <v>1554</v>
      </c>
      <c r="O1075" s="67"/>
      <c r="Z1075" s="28">
        <f>IF(AQ1075="5",BJ1075,0)</f>
        <v>0</v>
      </c>
      <c r="AB1075" s="28">
        <f>IF(AQ1075="1",BH1075,0)</f>
        <v>0</v>
      </c>
      <c r="AC1075" s="28">
        <f>IF(AQ1075="1",BI1075,0)</f>
        <v>0</v>
      </c>
      <c r="AD1075" s="28">
        <f>IF(AQ1075="7",BH1075,0)</f>
        <v>0</v>
      </c>
      <c r="AE1075" s="28">
        <f>IF(AQ1075="7",BI1075,0)</f>
        <v>0</v>
      </c>
      <c r="AF1075" s="28">
        <f>IF(AQ1075="2",BH1075,0)</f>
        <v>0</v>
      </c>
      <c r="AG1075" s="28">
        <f>IF(AQ1075="2",BI1075,0)</f>
        <v>0</v>
      </c>
      <c r="AH1075" s="28">
        <f>IF(AQ1075="0",BJ1075,0)</f>
        <v>0</v>
      </c>
      <c r="AI1075" s="27" t="s">
        <v>283</v>
      </c>
      <c r="AJ1075" s="18">
        <f>IF(AN1075=0,M1075,0)</f>
        <v>0</v>
      </c>
      <c r="AK1075" s="18">
        <f>IF(AN1075=15,M1075,0)</f>
        <v>0</v>
      </c>
      <c r="AL1075" s="18">
        <f>IF(AN1075=21,M1075,0)</f>
        <v>0</v>
      </c>
      <c r="AN1075" s="28">
        <v>15</v>
      </c>
      <c r="AO1075" s="28">
        <f>J1075*0</f>
        <v>0</v>
      </c>
      <c r="AP1075" s="28">
        <f>J1075*(1-0)</f>
        <v>0</v>
      </c>
      <c r="AQ1075" s="29" t="s">
        <v>7</v>
      </c>
      <c r="AV1075" s="28">
        <f>AW1075+AX1075</f>
        <v>0</v>
      </c>
      <c r="AW1075" s="28">
        <f>I1075*AO1075</f>
        <v>0</v>
      </c>
      <c r="AX1075" s="28">
        <f>I1075*AP1075</f>
        <v>0</v>
      </c>
      <c r="AY1075" s="31" t="s">
        <v>1607</v>
      </c>
      <c r="AZ1075" s="31" t="s">
        <v>1613</v>
      </c>
      <c r="BA1075" s="27" t="s">
        <v>1628</v>
      </c>
      <c r="BC1075" s="28">
        <f>AW1075+AX1075</f>
        <v>0</v>
      </c>
      <c r="BD1075" s="28">
        <f>J1075/(100-BE1075)*100</f>
        <v>0</v>
      </c>
      <c r="BE1075" s="28">
        <v>0</v>
      </c>
      <c r="BF1075" s="28">
        <f>1075</f>
        <v>1075</v>
      </c>
      <c r="BH1075" s="18">
        <f>I1075*AO1075</f>
        <v>0</v>
      </c>
      <c r="BI1075" s="18">
        <f>I1075*AP1075</f>
        <v>0</v>
      </c>
      <c r="BJ1075" s="18">
        <f>I1075*J1075</f>
        <v>0</v>
      </c>
      <c r="BK1075" s="18" t="s">
        <v>1634</v>
      </c>
      <c r="BL1075" s="28" t="s">
        <v>541</v>
      </c>
    </row>
    <row r="1076" spans="1:15" ht="12.75">
      <c r="A1076" s="82"/>
      <c r="B1076" s="83"/>
      <c r="C1076" s="83"/>
      <c r="D1076" s="85" t="s">
        <v>9</v>
      </c>
      <c r="G1076" s="86"/>
      <c r="H1076" s="83"/>
      <c r="I1076" s="88">
        <v>3</v>
      </c>
      <c r="J1076" s="83"/>
      <c r="K1076" s="83"/>
      <c r="L1076" s="83"/>
      <c r="M1076" s="83"/>
      <c r="N1076" s="80"/>
      <c r="O1076" s="67"/>
    </row>
    <row r="1077" spans="1:15" ht="12.75">
      <c r="A1077" s="3"/>
      <c r="C1077" s="12" t="s">
        <v>296</v>
      </c>
      <c r="D1077" s="142" t="s">
        <v>1268</v>
      </c>
      <c r="E1077" s="143"/>
      <c r="F1077" s="143"/>
      <c r="G1077" s="143"/>
      <c r="H1077" s="143"/>
      <c r="I1077" s="143"/>
      <c r="J1077" s="143"/>
      <c r="K1077" s="143"/>
      <c r="L1077" s="143"/>
      <c r="M1077" s="143"/>
      <c r="N1077" s="144"/>
      <c r="O1077" s="3"/>
    </row>
    <row r="1078" spans="1:64" ht="12.75">
      <c r="A1078" s="81" t="s">
        <v>253</v>
      </c>
      <c r="B1078" s="81" t="s">
        <v>283</v>
      </c>
      <c r="C1078" s="81" t="s">
        <v>552</v>
      </c>
      <c r="D1078" s="139" t="s">
        <v>1278</v>
      </c>
      <c r="E1078" s="134"/>
      <c r="F1078" s="134"/>
      <c r="G1078" s="140"/>
      <c r="H1078" s="81" t="s">
        <v>1539</v>
      </c>
      <c r="I1078" s="87">
        <v>15</v>
      </c>
      <c r="J1078" s="87">
        <v>0</v>
      </c>
      <c r="K1078" s="87">
        <f>I1078*AO1078</f>
        <v>0</v>
      </c>
      <c r="L1078" s="87">
        <f>I1078*AP1078</f>
        <v>0</v>
      </c>
      <c r="M1078" s="87">
        <f>I1078*J1078</f>
        <v>0</v>
      </c>
      <c r="N1078" s="77" t="s">
        <v>1554</v>
      </c>
      <c r="O1078" s="67"/>
      <c r="Z1078" s="28">
        <f>IF(AQ1078="5",BJ1078,0)</f>
        <v>0</v>
      </c>
      <c r="AB1078" s="28">
        <f>IF(AQ1078="1",BH1078,0)</f>
        <v>0</v>
      </c>
      <c r="AC1078" s="28">
        <f>IF(AQ1078="1",BI1078,0)</f>
        <v>0</v>
      </c>
      <c r="AD1078" s="28">
        <f>IF(AQ1078="7",BH1078,0)</f>
        <v>0</v>
      </c>
      <c r="AE1078" s="28">
        <f>IF(AQ1078="7",BI1078,0)</f>
        <v>0</v>
      </c>
      <c r="AF1078" s="28">
        <f>IF(AQ1078="2",BH1078,0)</f>
        <v>0</v>
      </c>
      <c r="AG1078" s="28">
        <f>IF(AQ1078="2",BI1078,0)</f>
        <v>0</v>
      </c>
      <c r="AH1078" s="28">
        <f>IF(AQ1078="0",BJ1078,0)</f>
        <v>0</v>
      </c>
      <c r="AI1078" s="27" t="s">
        <v>283</v>
      </c>
      <c r="AJ1078" s="18">
        <f>IF(AN1078=0,M1078,0)</f>
        <v>0</v>
      </c>
      <c r="AK1078" s="18">
        <f>IF(AN1078=15,M1078,0)</f>
        <v>0</v>
      </c>
      <c r="AL1078" s="18">
        <f>IF(AN1078=21,M1078,0)</f>
        <v>0</v>
      </c>
      <c r="AN1078" s="28">
        <v>15</v>
      </c>
      <c r="AO1078" s="28">
        <f>J1078*0.339775280898876</f>
        <v>0</v>
      </c>
      <c r="AP1078" s="28">
        <f>J1078*(1-0.339775280898876)</f>
        <v>0</v>
      </c>
      <c r="AQ1078" s="29" t="s">
        <v>7</v>
      </c>
      <c r="AV1078" s="28">
        <f>AW1078+AX1078</f>
        <v>0</v>
      </c>
      <c r="AW1078" s="28">
        <f>I1078*AO1078</f>
        <v>0</v>
      </c>
      <c r="AX1078" s="28">
        <f>I1078*AP1078</f>
        <v>0</v>
      </c>
      <c r="AY1078" s="31" t="s">
        <v>1607</v>
      </c>
      <c r="AZ1078" s="31" t="s">
        <v>1613</v>
      </c>
      <c r="BA1078" s="27" t="s">
        <v>1628</v>
      </c>
      <c r="BC1078" s="28">
        <f>AW1078+AX1078</f>
        <v>0</v>
      </c>
      <c r="BD1078" s="28">
        <f>J1078/(100-BE1078)*100</f>
        <v>0</v>
      </c>
      <c r="BE1078" s="28">
        <v>0</v>
      </c>
      <c r="BF1078" s="28">
        <f>1078</f>
        <v>1078</v>
      </c>
      <c r="BH1078" s="18">
        <f>I1078*AO1078</f>
        <v>0</v>
      </c>
      <c r="BI1078" s="18">
        <f>I1078*AP1078</f>
        <v>0</v>
      </c>
      <c r="BJ1078" s="18">
        <f>I1078*J1078</f>
        <v>0</v>
      </c>
      <c r="BK1078" s="18" t="s">
        <v>1634</v>
      </c>
      <c r="BL1078" s="28" t="s">
        <v>541</v>
      </c>
    </row>
    <row r="1079" spans="1:15" ht="12.75">
      <c r="A1079" s="82"/>
      <c r="B1079" s="83"/>
      <c r="C1079" s="83"/>
      <c r="D1079" s="85" t="s">
        <v>21</v>
      </c>
      <c r="G1079" s="86"/>
      <c r="H1079" s="83"/>
      <c r="I1079" s="88">
        <v>15</v>
      </c>
      <c r="J1079" s="83"/>
      <c r="K1079" s="83"/>
      <c r="L1079" s="83"/>
      <c r="M1079" s="83"/>
      <c r="N1079" s="80"/>
      <c r="O1079" s="67"/>
    </row>
    <row r="1080" spans="1:15" ht="12.75">
      <c r="A1080" s="3"/>
      <c r="C1080" s="12" t="s">
        <v>296</v>
      </c>
      <c r="D1080" s="142" t="s">
        <v>1268</v>
      </c>
      <c r="E1080" s="143"/>
      <c r="F1080" s="143"/>
      <c r="G1080" s="143"/>
      <c r="H1080" s="143"/>
      <c r="I1080" s="143"/>
      <c r="J1080" s="143"/>
      <c r="K1080" s="143"/>
      <c r="L1080" s="143"/>
      <c r="M1080" s="143"/>
      <c r="N1080" s="144"/>
      <c r="O1080" s="3"/>
    </row>
    <row r="1081" spans="1:64" ht="12.75">
      <c r="A1081" s="81" t="s">
        <v>254</v>
      </c>
      <c r="B1081" s="81" t="s">
        <v>283</v>
      </c>
      <c r="C1081" s="81" t="s">
        <v>553</v>
      </c>
      <c r="D1081" s="139" t="s">
        <v>1279</v>
      </c>
      <c r="E1081" s="134"/>
      <c r="F1081" s="134"/>
      <c r="G1081" s="140"/>
      <c r="H1081" s="81" t="s">
        <v>1539</v>
      </c>
      <c r="I1081" s="87">
        <v>43</v>
      </c>
      <c r="J1081" s="87">
        <v>0</v>
      </c>
      <c r="K1081" s="87">
        <f>I1081*AO1081</f>
        <v>0</v>
      </c>
      <c r="L1081" s="87">
        <f>I1081*AP1081</f>
        <v>0</v>
      </c>
      <c r="M1081" s="87">
        <f>I1081*J1081</f>
        <v>0</v>
      </c>
      <c r="N1081" s="77" t="s">
        <v>1554</v>
      </c>
      <c r="O1081" s="67"/>
      <c r="Z1081" s="28">
        <f>IF(AQ1081="5",BJ1081,0)</f>
        <v>0</v>
      </c>
      <c r="AB1081" s="28">
        <f>IF(AQ1081="1",BH1081,0)</f>
        <v>0</v>
      </c>
      <c r="AC1081" s="28">
        <f>IF(AQ1081="1",BI1081,0)</f>
        <v>0</v>
      </c>
      <c r="AD1081" s="28">
        <f>IF(AQ1081="7",BH1081,0)</f>
        <v>0</v>
      </c>
      <c r="AE1081" s="28">
        <f>IF(AQ1081="7",BI1081,0)</f>
        <v>0</v>
      </c>
      <c r="AF1081" s="28">
        <f>IF(AQ1081="2",BH1081,0)</f>
        <v>0</v>
      </c>
      <c r="AG1081" s="28">
        <f>IF(AQ1081="2",BI1081,0)</f>
        <v>0</v>
      </c>
      <c r="AH1081" s="28">
        <f>IF(AQ1081="0",BJ1081,0)</f>
        <v>0</v>
      </c>
      <c r="AI1081" s="27" t="s">
        <v>283</v>
      </c>
      <c r="AJ1081" s="18">
        <f>IF(AN1081=0,M1081,0)</f>
        <v>0</v>
      </c>
      <c r="AK1081" s="18">
        <f>IF(AN1081=15,M1081,0)</f>
        <v>0</v>
      </c>
      <c r="AL1081" s="18">
        <f>IF(AN1081=21,M1081,0)</f>
        <v>0</v>
      </c>
      <c r="AN1081" s="28">
        <v>15</v>
      </c>
      <c r="AO1081" s="28">
        <f>J1081*0</f>
        <v>0</v>
      </c>
      <c r="AP1081" s="28">
        <f>J1081*(1-0)</f>
        <v>0</v>
      </c>
      <c r="AQ1081" s="29" t="s">
        <v>7</v>
      </c>
      <c r="AV1081" s="28">
        <f>AW1081+AX1081</f>
        <v>0</v>
      </c>
      <c r="AW1081" s="28">
        <f>I1081*AO1081</f>
        <v>0</v>
      </c>
      <c r="AX1081" s="28">
        <f>I1081*AP1081</f>
        <v>0</v>
      </c>
      <c r="AY1081" s="31" t="s">
        <v>1607</v>
      </c>
      <c r="AZ1081" s="31" t="s">
        <v>1613</v>
      </c>
      <c r="BA1081" s="27" t="s">
        <v>1628</v>
      </c>
      <c r="BC1081" s="28">
        <f>AW1081+AX1081</f>
        <v>0</v>
      </c>
      <c r="BD1081" s="28">
        <f>J1081/(100-BE1081)*100</f>
        <v>0</v>
      </c>
      <c r="BE1081" s="28">
        <v>0</v>
      </c>
      <c r="BF1081" s="28">
        <f>1081</f>
        <v>1081</v>
      </c>
      <c r="BH1081" s="18">
        <f>I1081*AO1081</f>
        <v>0</v>
      </c>
      <c r="BI1081" s="18">
        <f>I1081*AP1081</f>
        <v>0</v>
      </c>
      <c r="BJ1081" s="18">
        <f>I1081*J1081</f>
        <v>0</v>
      </c>
      <c r="BK1081" s="18" t="s">
        <v>1634</v>
      </c>
      <c r="BL1081" s="28" t="s">
        <v>541</v>
      </c>
    </row>
    <row r="1082" spans="1:15" ht="12.75">
      <c r="A1082" s="82"/>
      <c r="B1082" s="83"/>
      <c r="C1082" s="83"/>
      <c r="D1082" s="85" t="s">
        <v>49</v>
      </c>
      <c r="G1082" s="86"/>
      <c r="H1082" s="83"/>
      <c r="I1082" s="88">
        <v>43</v>
      </c>
      <c r="J1082" s="83"/>
      <c r="K1082" s="83"/>
      <c r="L1082" s="83"/>
      <c r="M1082" s="83"/>
      <c r="N1082" s="80"/>
      <c r="O1082" s="67"/>
    </row>
    <row r="1083" spans="1:15" ht="12.75">
      <c r="A1083" s="3"/>
      <c r="C1083" s="12" t="s">
        <v>296</v>
      </c>
      <c r="D1083" s="142" t="s">
        <v>1268</v>
      </c>
      <c r="E1083" s="143"/>
      <c r="F1083" s="143"/>
      <c r="G1083" s="143"/>
      <c r="H1083" s="143"/>
      <c r="I1083" s="143"/>
      <c r="J1083" s="143"/>
      <c r="K1083" s="143"/>
      <c r="L1083" s="143"/>
      <c r="M1083" s="143"/>
      <c r="N1083" s="144"/>
      <c r="O1083" s="3"/>
    </row>
    <row r="1084" spans="1:64" ht="12.75">
      <c r="A1084" s="81" t="s">
        <v>255</v>
      </c>
      <c r="B1084" s="81" t="s">
        <v>283</v>
      </c>
      <c r="C1084" s="81" t="s">
        <v>554</v>
      </c>
      <c r="D1084" s="139" t="s">
        <v>1280</v>
      </c>
      <c r="E1084" s="134"/>
      <c r="F1084" s="134"/>
      <c r="G1084" s="140"/>
      <c r="H1084" s="81" t="s">
        <v>1539</v>
      </c>
      <c r="I1084" s="87">
        <v>14</v>
      </c>
      <c r="J1084" s="87">
        <v>0</v>
      </c>
      <c r="K1084" s="87">
        <f>I1084*AO1084</f>
        <v>0</v>
      </c>
      <c r="L1084" s="87">
        <f>I1084*AP1084</f>
        <v>0</v>
      </c>
      <c r="M1084" s="87">
        <f>I1084*J1084</f>
        <v>0</v>
      </c>
      <c r="N1084" s="77" t="s">
        <v>1554</v>
      </c>
      <c r="O1084" s="67"/>
      <c r="Z1084" s="28">
        <f>IF(AQ1084="5",BJ1084,0)</f>
        <v>0</v>
      </c>
      <c r="AB1084" s="28">
        <f>IF(AQ1084="1",BH1084,0)</f>
        <v>0</v>
      </c>
      <c r="AC1084" s="28">
        <f>IF(AQ1084="1",BI1084,0)</f>
        <v>0</v>
      </c>
      <c r="AD1084" s="28">
        <f>IF(AQ1084="7",BH1084,0)</f>
        <v>0</v>
      </c>
      <c r="AE1084" s="28">
        <f>IF(AQ1084="7",BI1084,0)</f>
        <v>0</v>
      </c>
      <c r="AF1084" s="28">
        <f>IF(AQ1084="2",BH1084,0)</f>
        <v>0</v>
      </c>
      <c r="AG1084" s="28">
        <f>IF(AQ1084="2",BI1084,0)</f>
        <v>0</v>
      </c>
      <c r="AH1084" s="28">
        <f>IF(AQ1084="0",BJ1084,0)</f>
        <v>0</v>
      </c>
      <c r="AI1084" s="27" t="s">
        <v>283</v>
      </c>
      <c r="AJ1084" s="18">
        <f>IF(AN1084=0,M1084,0)</f>
        <v>0</v>
      </c>
      <c r="AK1084" s="18">
        <f>IF(AN1084=15,M1084,0)</f>
        <v>0</v>
      </c>
      <c r="AL1084" s="18">
        <f>IF(AN1084=21,M1084,0)</f>
        <v>0</v>
      </c>
      <c r="AN1084" s="28">
        <v>15</v>
      </c>
      <c r="AO1084" s="28">
        <f>J1084*0</f>
        <v>0</v>
      </c>
      <c r="AP1084" s="28">
        <f>J1084*(1-0)</f>
        <v>0</v>
      </c>
      <c r="AQ1084" s="29" t="s">
        <v>7</v>
      </c>
      <c r="AV1084" s="28">
        <f>AW1084+AX1084</f>
        <v>0</v>
      </c>
      <c r="AW1084" s="28">
        <f>I1084*AO1084</f>
        <v>0</v>
      </c>
      <c r="AX1084" s="28">
        <f>I1084*AP1084</f>
        <v>0</v>
      </c>
      <c r="AY1084" s="31" t="s">
        <v>1607</v>
      </c>
      <c r="AZ1084" s="31" t="s">
        <v>1613</v>
      </c>
      <c r="BA1084" s="27" t="s">
        <v>1628</v>
      </c>
      <c r="BC1084" s="28">
        <f>AW1084+AX1084</f>
        <v>0</v>
      </c>
      <c r="BD1084" s="28">
        <f>J1084/(100-BE1084)*100</f>
        <v>0</v>
      </c>
      <c r="BE1084" s="28">
        <v>0</v>
      </c>
      <c r="BF1084" s="28">
        <f>1084</f>
        <v>1084</v>
      </c>
      <c r="BH1084" s="18">
        <f>I1084*AO1084</f>
        <v>0</v>
      </c>
      <c r="BI1084" s="18">
        <f>I1084*AP1084</f>
        <v>0</v>
      </c>
      <c r="BJ1084" s="18">
        <f>I1084*J1084</f>
        <v>0</v>
      </c>
      <c r="BK1084" s="18" t="s">
        <v>1634</v>
      </c>
      <c r="BL1084" s="28" t="s">
        <v>541</v>
      </c>
    </row>
    <row r="1085" spans="1:15" ht="12.75">
      <c r="A1085" s="82"/>
      <c r="B1085" s="83"/>
      <c r="C1085" s="83"/>
      <c r="D1085" s="85" t="s">
        <v>20</v>
      </c>
      <c r="G1085" s="86"/>
      <c r="H1085" s="83"/>
      <c r="I1085" s="88">
        <v>14</v>
      </c>
      <c r="J1085" s="83"/>
      <c r="K1085" s="83"/>
      <c r="L1085" s="83"/>
      <c r="M1085" s="83"/>
      <c r="N1085" s="80"/>
      <c r="O1085" s="67"/>
    </row>
    <row r="1086" spans="1:15" ht="12.75">
      <c r="A1086" s="3"/>
      <c r="C1086" s="12" t="s">
        <v>296</v>
      </c>
      <c r="D1086" s="142" t="s">
        <v>1268</v>
      </c>
      <c r="E1086" s="143"/>
      <c r="F1086" s="143"/>
      <c r="G1086" s="143"/>
      <c r="H1086" s="143"/>
      <c r="I1086" s="143"/>
      <c r="J1086" s="143"/>
      <c r="K1086" s="143"/>
      <c r="L1086" s="143"/>
      <c r="M1086" s="143"/>
      <c r="N1086" s="144"/>
      <c r="O1086" s="3"/>
    </row>
    <row r="1087" spans="1:64" ht="12.75">
      <c r="A1087" s="81" t="s">
        <v>256</v>
      </c>
      <c r="B1087" s="81" t="s">
        <v>283</v>
      </c>
      <c r="C1087" s="81" t="s">
        <v>555</v>
      </c>
      <c r="D1087" s="139" t="s">
        <v>1281</v>
      </c>
      <c r="E1087" s="134"/>
      <c r="F1087" s="134"/>
      <c r="G1087" s="140"/>
      <c r="H1087" s="81" t="s">
        <v>1539</v>
      </c>
      <c r="I1087" s="87">
        <v>58</v>
      </c>
      <c r="J1087" s="87">
        <v>0</v>
      </c>
      <c r="K1087" s="87">
        <f>I1087*AO1087</f>
        <v>0</v>
      </c>
      <c r="L1087" s="87">
        <f>I1087*AP1087</f>
        <v>0</v>
      </c>
      <c r="M1087" s="87">
        <f>I1087*J1087</f>
        <v>0</v>
      </c>
      <c r="N1087" s="77" t="s">
        <v>1554</v>
      </c>
      <c r="O1087" s="67"/>
      <c r="Z1087" s="28">
        <f>IF(AQ1087="5",BJ1087,0)</f>
        <v>0</v>
      </c>
      <c r="AB1087" s="28">
        <f>IF(AQ1087="1",BH1087,0)</f>
        <v>0</v>
      </c>
      <c r="AC1087" s="28">
        <f>IF(AQ1087="1",BI1087,0)</f>
        <v>0</v>
      </c>
      <c r="AD1087" s="28">
        <f>IF(AQ1087="7",BH1087,0)</f>
        <v>0</v>
      </c>
      <c r="AE1087" s="28">
        <f>IF(AQ1087="7",BI1087,0)</f>
        <v>0</v>
      </c>
      <c r="AF1087" s="28">
        <f>IF(AQ1087="2",BH1087,0)</f>
        <v>0</v>
      </c>
      <c r="AG1087" s="28">
        <f>IF(AQ1087="2",BI1087,0)</f>
        <v>0</v>
      </c>
      <c r="AH1087" s="28">
        <f>IF(AQ1087="0",BJ1087,0)</f>
        <v>0</v>
      </c>
      <c r="AI1087" s="27" t="s">
        <v>283</v>
      </c>
      <c r="AJ1087" s="18">
        <f>IF(AN1087=0,M1087,0)</f>
        <v>0</v>
      </c>
      <c r="AK1087" s="18">
        <f>IF(AN1087=15,M1087,0)</f>
        <v>0</v>
      </c>
      <c r="AL1087" s="18">
        <f>IF(AN1087=21,M1087,0)</f>
        <v>0</v>
      </c>
      <c r="AN1087" s="28">
        <v>15</v>
      </c>
      <c r="AO1087" s="28">
        <f>J1087*0</f>
        <v>0</v>
      </c>
      <c r="AP1087" s="28">
        <f>J1087*(1-0)</f>
        <v>0</v>
      </c>
      <c r="AQ1087" s="29" t="s">
        <v>7</v>
      </c>
      <c r="AV1087" s="28">
        <f>AW1087+AX1087</f>
        <v>0</v>
      </c>
      <c r="AW1087" s="28">
        <f>I1087*AO1087</f>
        <v>0</v>
      </c>
      <c r="AX1087" s="28">
        <f>I1087*AP1087</f>
        <v>0</v>
      </c>
      <c r="AY1087" s="31" t="s">
        <v>1607</v>
      </c>
      <c r="AZ1087" s="31" t="s">
        <v>1613</v>
      </c>
      <c r="BA1087" s="27" t="s">
        <v>1628</v>
      </c>
      <c r="BC1087" s="28">
        <f>AW1087+AX1087</f>
        <v>0</v>
      </c>
      <c r="BD1087" s="28">
        <f>J1087/(100-BE1087)*100</f>
        <v>0</v>
      </c>
      <c r="BE1087" s="28">
        <v>0</v>
      </c>
      <c r="BF1087" s="28">
        <f>1087</f>
        <v>1087</v>
      </c>
      <c r="BH1087" s="18">
        <f>I1087*AO1087</f>
        <v>0</v>
      </c>
      <c r="BI1087" s="18">
        <f>I1087*AP1087</f>
        <v>0</v>
      </c>
      <c r="BJ1087" s="18">
        <f>I1087*J1087</f>
        <v>0</v>
      </c>
      <c r="BK1087" s="18" t="s">
        <v>1634</v>
      </c>
      <c r="BL1087" s="28" t="s">
        <v>541</v>
      </c>
    </row>
    <row r="1088" spans="1:15" ht="12.75">
      <c r="A1088" s="82"/>
      <c r="B1088" s="83"/>
      <c r="C1088" s="83"/>
      <c r="D1088" s="85" t="s">
        <v>64</v>
      </c>
      <c r="G1088" s="86"/>
      <c r="H1088" s="83"/>
      <c r="I1088" s="88">
        <v>58</v>
      </c>
      <c r="J1088" s="83"/>
      <c r="K1088" s="83"/>
      <c r="L1088" s="83"/>
      <c r="M1088" s="83"/>
      <c r="N1088" s="80"/>
      <c r="O1088" s="67"/>
    </row>
    <row r="1089" spans="1:15" ht="12.75">
      <c r="A1089" s="3"/>
      <c r="C1089" s="12" t="s">
        <v>296</v>
      </c>
      <c r="D1089" s="142" t="s">
        <v>1268</v>
      </c>
      <c r="E1089" s="143"/>
      <c r="F1089" s="143"/>
      <c r="G1089" s="143"/>
      <c r="H1089" s="143"/>
      <c r="I1089" s="143"/>
      <c r="J1089" s="143"/>
      <c r="K1089" s="143"/>
      <c r="L1089" s="143"/>
      <c r="M1089" s="143"/>
      <c r="N1089" s="144"/>
      <c r="O1089" s="3"/>
    </row>
    <row r="1090" spans="1:64" ht="12.75">
      <c r="A1090" s="81" t="s">
        <v>257</v>
      </c>
      <c r="B1090" s="81" t="s">
        <v>283</v>
      </c>
      <c r="C1090" s="81" t="s">
        <v>556</v>
      </c>
      <c r="D1090" s="139" t="s">
        <v>1282</v>
      </c>
      <c r="E1090" s="134"/>
      <c r="F1090" s="134"/>
      <c r="G1090" s="140"/>
      <c r="H1090" s="81" t="s">
        <v>1539</v>
      </c>
      <c r="I1090" s="87">
        <v>22</v>
      </c>
      <c r="J1090" s="87">
        <v>0</v>
      </c>
      <c r="K1090" s="87">
        <f>I1090*AO1090</f>
        <v>0</v>
      </c>
      <c r="L1090" s="87">
        <f>I1090*AP1090</f>
        <v>0</v>
      </c>
      <c r="M1090" s="87">
        <f>I1090*J1090</f>
        <v>0</v>
      </c>
      <c r="N1090" s="77" t="s">
        <v>1554</v>
      </c>
      <c r="O1090" s="67"/>
      <c r="Z1090" s="28">
        <f>IF(AQ1090="5",BJ1090,0)</f>
        <v>0</v>
      </c>
      <c r="AB1090" s="28">
        <f>IF(AQ1090="1",BH1090,0)</f>
        <v>0</v>
      </c>
      <c r="AC1090" s="28">
        <f>IF(AQ1090="1",BI1090,0)</f>
        <v>0</v>
      </c>
      <c r="AD1090" s="28">
        <f>IF(AQ1090="7",BH1090,0)</f>
        <v>0</v>
      </c>
      <c r="AE1090" s="28">
        <f>IF(AQ1090="7",BI1090,0)</f>
        <v>0</v>
      </c>
      <c r="AF1090" s="28">
        <f>IF(AQ1090="2",BH1090,0)</f>
        <v>0</v>
      </c>
      <c r="AG1090" s="28">
        <f>IF(AQ1090="2",BI1090,0)</f>
        <v>0</v>
      </c>
      <c r="AH1090" s="28">
        <f>IF(AQ1090="0",BJ1090,0)</f>
        <v>0</v>
      </c>
      <c r="AI1090" s="27" t="s">
        <v>283</v>
      </c>
      <c r="AJ1090" s="18">
        <f>IF(AN1090=0,M1090,0)</f>
        <v>0</v>
      </c>
      <c r="AK1090" s="18">
        <f>IF(AN1090=15,M1090,0)</f>
        <v>0</v>
      </c>
      <c r="AL1090" s="18">
        <f>IF(AN1090=21,M1090,0)</f>
        <v>0</v>
      </c>
      <c r="AN1090" s="28">
        <v>15</v>
      </c>
      <c r="AO1090" s="28">
        <f>J1090*0</f>
        <v>0</v>
      </c>
      <c r="AP1090" s="28">
        <f>J1090*(1-0)</f>
        <v>0</v>
      </c>
      <c r="AQ1090" s="29" t="s">
        <v>7</v>
      </c>
      <c r="AV1090" s="28">
        <f>AW1090+AX1090</f>
        <v>0</v>
      </c>
      <c r="AW1090" s="28">
        <f>I1090*AO1090</f>
        <v>0</v>
      </c>
      <c r="AX1090" s="28">
        <f>I1090*AP1090</f>
        <v>0</v>
      </c>
      <c r="AY1090" s="31" t="s">
        <v>1607</v>
      </c>
      <c r="AZ1090" s="31" t="s">
        <v>1613</v>
      </c>
      <c r="BA1090" s="27" t="s">
        <v>1628</v>
      </c>
      <c r="BC1090" s="28">
        <f>AW1090+AX1090</f>
        <v>0</v>
      </c>
      <c r="BD1090" s="28">
        <f>J1090/(100-BE1090)*100</f>
        <v>0</v>
      </c>
      <c r="BE1090" s="28">
        <v>0</v>
      </c>
      <c r="BF1090" s="28">
        <f>1090</f>
        <v>1090</v>
      </c>
      <c r="BH1090" s="18">
        <f>I1090*AO1090</f>
        <v>0</v>
      </c>
      <c r="BI1090" s="18">
        <f>I1090*AP1090</f>
        <v>0</v>
      </c>
      <c r="BJ1090" s="18">
        <f>I1090*J1090</f>
        <v>0</v>
      </c>
      <c r="BK1090" s="18" t="s">
        <v>1634</v>
      </c>
      <c r="BL1090" s="28" t="s">
        <v>541</v>
      </c>
    </row>
    <row r="1091" spans="1:15" ht="12.75">
      <c r="A1091" s="82"/>
      <c r="B1091" s="83"/>
      <c r="C1091" s="83"/>
      <c r="D1091" s="85" t="s">
        <v>28</v>
      </c>
      <c r="G1091" s="86"/>
      <c r="H1091" s="83"/>
      <c r="I1091" s="88">
        <v>22</v>
      </c>
      <c r="J1091" s="83"/>
      <c r="K1091" s="83"/>
      <c r="L1091" s="83"/>
      <c r="M1091" s="83"/>
      <c r="N1091" s="80"/>
      <c r="O1091" s="67"/>
    </row>
    <row r="1092" spans="1:15" ht="12.75">
      <c r="A1092" s="3"/>
      <c r="C1092" s="12" t="s">
        <v>296</v>
      </c>
      <c r="D1092" s="142" t="s">
        <v>1268</v>
      </c>
      <c r="E1092" s="143"/>
      <c r="F1092" s="143"/>
      <c r="G1092" s="143"/>
      <c r="H1092" s="143"/>
      <c r="I1092" s="143"/>
      <c r="J1092" s="143"/>
      <c r="K1092" s="143"/>
      <c r="L1092" s="143"/>
      <c r="M1092" s="143"/>
      <c r="N1092" s="144"/>
      <c r="O1092" s="3"/>
    </row>
    <row r="1093" spans="1:64" ht="12.75">
      <c r="A1093" s="81" t="s">
        <v>258</v>
      </c>
      <c r="B1093" s="81" t="s">
        <v>283</v>
      </c>
      <c r="C1093" s="81" t="s">
        <v>557</v>
      </c>
      <c r="D1093" s="139" t="s">
        <v>1283</v>
      </c>
      <c r="E1093" s="134"/>
      <c r="F1093" s="134"/>
      <c r="G1093" s="140"/>
      <c r="H1093" s="81" t="s">
        <v>1541</v>
      </c>
      <c r="I1093" s="87">
        <v>20</v>
      </c>
      <c r="J1093" s="87">
        <v>0</v>
      </c>
      <c r="K1093" s="87">
        <f>I1093*AO1093</f>
        <v>0</v>
      </c>
      <c r="L1093" s="87">
        <f>I1093*AP1093</f>
        <v>0</v>
      </c>
      <c r="M1093" s="87">
        <f>I1093*J1093</f>
        <v>0</v>
      </c>
      <c r="N1093" s="77" t="s">
        <v>1554</v>
      </c>
      <c r="O1093" s="67"/>
      <c r="Z1093" s="28">
        <f>IF(AQ1093="5",BJ1093,0)</f>
        <v>0</v>
      </c>
      <c r="AB1093" s="28">
        <f>IF(AQ1093="1",BH1093,0)</f>
        <v>0</v>
      </c>
      <c r="AC1093" s="28">
        <f>IF(AQ1093="1",BI1093,0)</f>
        <v>0</v>
      </c>
      <c r="AD1093" s="28">
        <f>IF(AQ1093="7",BH1093,0)</f>
        <v>0</v>
      </c>
      <c r="AE1093" s="28">
        <f>IF(AQ1093="7",BI1093,0)</f>
        <v>0</v>
      </c>
      <c r="AF1093" s="28">
        <f>IF(AQ1093="2",BH1093,0)</f>
        <v>0</v>
      </c>
      <c r="AG1093" s="28">
        <f>IF(AQ1093="2",BI1093,0)</f>
        <v>0</v>
      </c>
      <c r="AH1093" s="28">
        <f>IF(AQ1093="0",BJ1093,0)</f>
        <v>0</v>
      </c>
      <c r="AI1093" s="27" t="s">
        <v>283</v>
      </c>
      <c r="AJ1093" s="18">
        <f>IF(AN1093=0,M1093,0)</f>
        <v>0</v>
      </c>
      <c r="AK1093" s="18">
        <f>IF(AN1093=15,M1093,0)</f>
        <v>0</v>
      </c>
      <c r="AL1093" s="18">
        <f>IF(AN1093=21,M1093,0)</f>
        <v>0</v>
      </c>
      <c r="AN1093" s="28">
        <v>15</v>
      </c>
      <c r="AO1093" s="28">
        <f>J1093*0</f>
        <v>0</v>
      </c>
      <c r="AP1093" s="28">
        <f>J1093*(1-0)</f>
        <v>0</v>
      </c>
      <c r="AQ1093" s="29" t="s">
        <v>8</v>
      </c>
      <c r="AV1093" s="28">
        <f>AW1093+AX1093</f>
        <v>0</v>
      </c>
      <c r="AW1093" s="28">
        <f>I1093*AO1093</f>
        <v>0</v>
      </c>
      <c r="AX1093" s="28">
        <f>I1093*AP1093</f>
        <v>0</v>
      </c>
      <c r="AY1093" s="31" t="s">
        <v>1607</v>
      </c>
      <c r="AZ1093" s="31" t="s">
        <v>1613</v>
      </c>
      <c r="BA1093" s="27" t="s">
        <v>1628</v>
      </c>
      <c r="BC1093" s="28">
        <f>AW1093+AX1093</f>
        <v>0</v>
      </c>
      <c r="BD1093" s="28">
        <f>J1093/(100-BE1093)*100</f>
        <v>0</v>
      </c>
      <c r="BE1093" s="28">
        <v>0</v>
      </c>
      <c r="BF1093" s="28">
        <f>1093</f>
        <v>1093</v>
      </c>
      <c r="BH1093" s="18">
        <f>I1093*AO1093</f>
        <v>0</v>
      </c>
      <c r="BI1093" s="18">
        <f>I1093*AP1093</f>
        <v>0</v>
      </c>
      <c r="BJ1093" s="18">
        <f>I1093*J1093</f>
        <v>0</v>
      </c>
      <c r="BK1093" s="18" t="s">
        <v>1634</v>
      </c>
      <c r="BL1093" s="28" t="s">
        <v>541</v>
      </c>
    </row>
    <row r="1094" spans="1:15" ht="12.75">
      <c r="A1094" s="82"/>
      <c r="B1094" s="83"/>
      <c r="C1094" s="83"/>
      <c r="D1094" s="85" t="s">
        <v>26</v>
      </c>
      <c r="G1094" s="86"/>
      <c r="H1094" s="83"/>
      <c r="I1094" s="88">
        <v>20</v>
      </c>
      <c r="J1094" s="83"/>
      <c r="K1094" s="83"/>
      <c r="L1094" s="83"/>
      <c r="M1094" s="83"/>
      <c r="N1094" s="80"/>
      <c r="O1094" s="67"/>
    </row>
    <row r="1095" spans="1:15" ht="12.75">
      <c r="A1095" s="3"/>
      <c r="C1095" s="12" t="s">
        <v>296</v>
      </c>
      <c r="D1095" s="142" t="s">
        <v>1268</v>
      </c>
      <c r="E1095" s="143"/>
      <c r="F1095" s="143"/>
      <c r="G1095" s="143"/>
      <c r="H1095" s="143"/>
      <c r="I1095" s="143"/>
      <c r="J1095" s="143"/>
      <c r="K1095" s="143"/>
      <c r="L1095" s="143"/>
      <c r="M1095" s="143"/>
      <c r="N1095" s="144"/>
      <c r="O1095" s="3"/>
    </row>
    <row r="1096" spans="1:64" ht="12.75">
      <c r="A1096" s="81" t="s">
        <v>259</v>
      </c>
      <c r="B1096" s="81" t="s">
        <v>283</v>
      </c>
      <c r="C1096" s="81" t="s">
        <v>558</v>
      </c>
      <c r="D1096" s="139" t="s">
        <v>1284</v>
      </c>
      <c r="E1096" s="134"/>
      <c r="F1096" s="134"/>
      <c r="G1096" s="140"/>
      <c r="H1096" s="81" t="s">
        <v>1541</v>
      </c>
      <c r="I1096" s="87">
        <v>30</v>
      </c>
      <c r="J1096" s="87">
        <v>0</v>
      </c>
      <c r="K1096" s="87">
        <f>I1096*AO1096</f>
        <v>0</v>
      </c>
      <c r="L1096" s="87">
        <f>I1096*AP1096</f>
        <v>0</v>
      </c>
      <c r="M1096" s="87">
        <f>I1096*J1096</f>
        <v>0</v>
      </c>
      <c r="N1096" s="77" t="s">
        <v>1554</v>
      </c>
      <c r="O1096" s="67"/>
      <c r="Z1096" s="28">
        <f>IF(AQ1096="5",BJ1096,0)</f>
        <v>0</v>
      </c>
      <c r="AB1096" s="28">
        <f>IF(AQ1096="1",BH1096,0)</f>
        <v>0</v>
      </c>
      <c r="AC1096" s="28">
        <f>IF(AQ1096="1",BI1096,0)</f>
        <v>0</v>
      </c>
      <c r="AD1096" s="28">
        <f>IF(AQ1096="7",BH1096,0)</f>
        <v>0</v>
      </c>
      <c r="AE1096" s="28">
        <f>IF(AQ1096="7",BI1096,0)</f>
        <v>0</v>
      </c>
      <c r="AF1096" s="28">
        <f>IF(AQ1096="2",BH1096,0)</f>
        <v>0</v>
      </c>
      <c r="AG1096" s="28">
        <f>IF(AQ1096="2",BI1096,0)</f>
        <v>0</v>
      </c>
      <c r="AH1096" s="28">
        <f>IF(AQ1096="0",BJ1096,0)</f>
        <v>0</v>
      </c>
      <c r="AI1096" s="27" t="s">
        <v>283</v>
      </c>
      <c r="AJ1096" s="18">
        <f>IF(AN1096=0,M1096,0)</f>
        <v>0</v>
      </c>
      <c r="AK1096" s="18">
        <f>IF(AN1096=15,M1096,0)</f>
        <v>0</v>
      </c>
      <c r="AL1096" s="18">
        <f>IF(AN1096=21,M1096,0)</f>
        <v>0</v>
      </c>
      <c r="AN1096" s="28">
        <v>15</v>
      </c>
      <c r="AO1096" s="28">
        <f>J1096*0</f>
        <v>0</v>
      </c>
      <c r="AP1096" s="28">
        <f>J1096*(1-0)</f>
        <v>0</v>
      </c>
      <c r="AQ1096" s="29" t="s">
        <v>8</v>
      </c>
      <c r="AV1096" s="28">
        <f>AW1096+AX1096</f>
        <v>0</v>
      </c>
      <c r="AW1096" s="28">
        <f>I1096*AO1096</f>
        <v>0</v>
      </c>
      <c r="AX1096" s="28">
        <f>I1096*AP1096</f>
        <v>0</v>
      </c>
      <c r="AY1096" s="31" t="s">
        <v>1607</v>
      </c>
      <c r="AZ1096" s="31" t="s">
        <v>1613</v>
      </c>
      <c r="BA1096" s="27" t="s">
        <v>1628</v>
      </c>
      <c r="BC1096" s="28">
        <f>AW1096+AX1096</f>
        <v>0</v>
      </c>
      <c r="BD1096" s="28">
        <f>J1096/(100-BE1096)*100</f>
        <v>0</v>
      </c>
      <c r="BE1096" s="28">
        <v>0</v>
      </c>
      <c r="BF1096" s="28">
        <f>1096</f>
        <v>1096</v>
      </c>
      <c r="BH1096" s="18">
        <f>I1096*AO1096</f>
        <v>0</v>
      </c>
      <c r="BI1096" s="18">
        <f>I1096*AP1096</f>
        <v>0</v>
      </c>
      <c r="BJ1096" s="18">
        <f>I1096*J1096</f>
        <v>0</v>
      </c>
      <c r="BK1096" s="18" t="s">
        <v>1634</v>
      </c>
      <c r="BL1096" s="28" t="s">
        <v>541</v>
      </c>
    </row>
    <row r="1097" spans="1:15" ht="12.75">
      <c r="A1097" s="82"/>
      <c r="B1097" s="83"/>
      <c r="C1097" s="83"/>
      <c r="D1097" s="85" t="s">
        <v>36</v>
      </c>
      <c r="G1097" s="86"/>
      <c r="H1097" s="83"/>
      <c r="I1097" s="88">
        <v>30</v>
      </c>
      <c r="J1097" s="83"/>
      <c r="K1097" s="83"/>
      <c r="L1097" s="83"/>
      <c r="M1097" s="83"/>
      <c r="N1097" s="80"/>
      <c r="O1097" s="67"/>
    </row>
    <row r="1098" spans="1:15" ht="12.75">
      <c r="A1098" s="3"/>
      <c r="C1098" s="12" t="s">
        <v>296</v>
      </c>
      <c r="D1098" s="142" t="s">
        <v>1268</v>
      </c>
      <c r="E1098" s="143"/>
      <c r="F1098" s="143"/>
      <c r="G1098" s="143"/>
      <c r="H1098" s="143"/>
      <c r="I1098" s="143"/>
      <c r="J1098" s="143"/>
      <c r="K1098" s="143"/>
      <c r="L1098" s="143"/>
      <c r="M1098" s="143"/>
      <c r="N1098" s="144"/>
      <c r="O1098" s="3"/>
    </row>
    <row r="1099" spans="1:64" ht="12.75">
      <c r="A1099" s="81" t="s">
        <v>260</v>
      </c>
      <c r="B1099" s="81" t="s">
        <v>283</v>
      </c>
      <c r="C1099" s="81" t="s">
        <v>559</v>
      </c>
      <c r="D1099" s="139" t="s">
        <v>1285</v>
      </c>
      <c r="E1099" s="134"/>
      <c r="F1099" s="134"/>
      <c r="G1099" s="140"/>
      <c r="H1099" s="81" t="s">
        <v>1542</v>
      </c>
      <c r="I1099" s="87">
        <v>1</v>
      </c>
      <c r="J1099" s="87">
        <v>0</v>
      </c>
      <c r="K1099" s="87">
        <f>I1099*AO1099</f>
        <v>0</v>
      </c>
      <c r="L1099" s="87">
        <f>I1099*AP1099</f>
        <v>0</v>
      </c>
      <c r="M1099" s="87">
        <f>I1099*J1099</f>
        <v>0</v>
      </c>
      <c r="N1099" s="77" t="s">
        <v>1554</v>
      </c>
      <c r="O1099" s="67"/>
      <c r="Z1099" s="28">
        <f>IF(AQ1099="5",BJ1099,0)</f>
        <v>0</v>
      </c>
      <c r="AB1099" s="28">
        <f>IF(AQ1099="1",BH1099,0)</f>
        <v>0</v>
      </c>
      <c r="AC1099" s="28">
        <f>IF(AQ1099="1",BI1099,0)</f>
        <v>0</v>
      </c>
      <c r="AD1099" s="28">
        <f>IF(AQ1099="7",BH1099,0)</f>
        <v>0</v>
      </c>
      <c r="AE1099" s="28">
        <f>IF(AQ1099="7",BI1099,0)</f>
        <v>0</v>
      </c>
      <c r="AF1099" s="28">
        <f>IF(AQ1099="2",BH1099,0)</f>
        <v>0</v>
      </c>
      <c r="AG1099" s="28">
        <f>IF(AQ1099="2",BI1099,0)</f>
        <v>0</v>
      </c>
      <c r="AH1099" s="28">
        <f>IF(AQ1099="0",BJ1099,0)</f>
        <v>0</v>
      </c>
      <c r="AI1099" s="27" t="s">
        <v>283</v>
      </c>
      <c r="AJ1099" s="18">
        <f>IF(AN1099=0,M1099,0)</f>
        <v>0</v>
      </c>
      <c r="AK1099" s="18">
        <f>IF(AN1099=15,M1099,0)</f>
        <v>0</v>
      </c>
      <c r="AL1099" s="18">
        <f>IF(AN1099=21,M1099,0)</f>
        <v>0</v>
      </c>
      <c r="AN1099" s="28">
        <v>15</v>
      </c>
      <c r="AO1099" s="28">
        <f>J1099*0</f>
        <v>0</v>
      </c>
      <c r="AP1099" s="28">
        <f>J1099*(1-0)</f>
        <v>0</v>
      </c>
      <c r="AQ1099" s="29" t="s">
        <v>8</v>
      </c>
      <c r="AV1099" s="28">
        <f>AW1099+AX1099</f>
        <v>0</v>
      </c>
      <c r="AW1099" s="28">
        <f>I1099*AO1099</f>
        <v>0</v>
      </c>
      <c r="AX1099" s="28">
        <f>I1099*AP1099</f>
        <v>0</v>
      </c>
      <c r="AY1099" s="31" t="s">
        <v>1607</v>
      </c>
      <c r="AZ1099" s="31" t="s">
        <v>1613</v>
      </c>
      <c r="BA1099" s="27" t="s">
        <v>1628</v>
      </c>
      <c r="BC1099" s="28">
        <f>AW1099+AX1099</f>
        <v>0</v>
      </c>
      <c r="BD1099" s="28">
        <f>J1099/(100-BE1099)*100</f>
        <v>0</v>
      </c>
      <c r="BE1099" s="28">
        <v>0</v>
      </c>
      <c r="BF1099" s="28">
        <f>1099</f>
        <v>1099</v>
      </c>
      <c r="BH1099" s="18">
        <f>I1099*AO1099</f>
        <v>0</v>
      </c>
      <c r="BI1099" s="18">
        <f>I1099*AP1099</f>
        <v>0</v>
      </c>
      <c r="BJ1099" s="18">
        <f>I1099*J1099</f>
        <v>0</v>
      </c>
      <c r="BK1099" s="18" t="s">
        <v>1634</v>
      </c>
      <c r="BL1099" s="28" t="s">
        <v>541</v>
      </c>
    </row>
    <row r="1100" spans="1:15" ht="12.75">
      <c r="A1100" s="82"/>
      <c r="B1100" s="83"/>
      <c r="C1100" s="83"/>
      <c r="D1100" s="85" t="s">
        <v>7</v>
      </c>
      <c r="G1100" s="86"/>
      <c r="H1100" s="83"/>
      <c r="I1100" s="88">
        <v>1</v>
      </c>
      <c r="J1100" s="83"/>
      <c r="K1100" s="83"/>
      <c r="L1100" s="83"/>
      <c r="M1100" s="83"/>
      <c r="N1100" s="80"/>
      <c r="O1100" s="67"/>
    </row>
    <row r="1101" spans="1:15" ht="12.75">
      <c r="A1101" s="3"/>
      <c r="C1101" s="12" t="s">
        <v>296</v>
      </c>
      <c r="D1101" s="142" t="s">
        <v>1268</v>
      </c>
      <c r="E1101" s="143"/>
      <c r="F1101" s="143"/>
      <c r="G1101" s="143"/>
      <c r="H1101" s="143"/>
      <c r="I1101" s="143"/>
      <c r="J1101" s="143"/>
      <c r="K1101" s="143"/>
      <c r="L1101" s="143"/>
      <c r="M1101" s="143"/>
      <c r="N1101" s="144"/>
      <c r="O1101" s="3"/>
    </row>
    <row r="1102" spans="1:47" ht="12.75">
      <c r="A1102" s="72"/>
      <c r="B1102" s="73" t="s">
        <v>283</v>
      </c>
      <c r="C1102" s="73" t="s">
        <v>560</v>
      </c>
      <c r="D1102" s="130" t="s">
        <v>1286</v>
      </c>
      <c r="E1102" s="131"/>
      <c r="F1102" s="131"/>
      <c r="G1102" s="132"/>
      <c r="H1102" s="72" t="s">
        <v>6</v>
      </c>
      <c r="I1102" s="72" t="s">
        <v>6</v>
      </c>
      <c r="J1102" s="72" t="s">
        <v>6</v>
      </c>
      <c r="K1102" s="76">
        <f>SUM(K1103:K1111)</f>
        <v>0</v>
      </c>
      <c r="L1102" s="76">
        <f>SUM(L1103:L1111)</f>
        <v>0</v>
      </c>
      <c r="M1102" s="76">
        <f>SUM(M1103:M1111)</f>
        <v>0</v>
      </c>
      <c r="N1102" s="71"/>
      <c r="O1102" s="67"/>
      <c r="AI1102" s="27" t="s">
        <v>283</v>
      </c>
      <c r="AS1102" s="33">
        <f>SUM(AJ1103:AJ1111)</f>
        <v>0</v>
      </c>
      <c r="AT1102" s="33">
        <f>SUM(AK1103:AK1111)</f>
        <v>0</v>
      </c>
      <c r="AU1102" s="33">
        <f>SUM(AL1103:AL1111)</f>
        <v>0</v>
      </c>
    </row>
    <row r="1103" spans="1:64" ht="12.75">
      <c r="A1103" s="74" t="s">
        <v>261</v>
      </c>
      <c r="B1103" s="74" t="s">
        <v>283</v>
      </c>
      <c r="C1103" s="74" t="s">
        <v>561</v>
      </c>
      <c r="D1103" s="133" t="s">
        <v>1287</v>
      </c>
      <c r="E1103" s="134"/>
      <c r="F1103" s="134"/>
      <c r="G1103" s="135"/>
      <c r="H1103" s="74" t="s">
        <v>1538</v>
      </c>
      <c r="I1103" s="75">
        <v>6</v>
      </c>
      <c r="J1103" s="75">
        <v>0</v>
      </c>
      <c r="K1103" s="75">
        <f>I1103*AO1103</f>
        <v>0</v>
      </c>
      <c r="L1103" s="75">
        <f>I1103*AP1103</f>
        <v>0</v>
      </c>
      <c r="M1103" s="75">
        <f>I1103*J1103</f>
        <v>0</v>
      </c>
      <c r="N1103" s="78" t="s">
        <v>1556</v>
      </c>
      <c r="O1103" s="67"/>
      <c r="Z1103" s="28">
        <f>IF(AQ1103="5",BJ1103,0)</f>
        <v>0</v>
      </c>
      <c r="AB1103" s="28">
        <f>IF(AQ1103="1",BH1103,0)</f>
        <v>0</v>
      </c>
      <c r="AC1103" s="28">
        <f>IF(AQ1103="1",BI1103,0)</f>
        <v>0</v>
      </c>
      <c r="AD1103" s="28">
        <f>IF(AQ1103="7",BH1103,0)</f>
        <v>0</v>
      </c>
      <c r="AE1103" s="28">
        <f>IF(AQ1103="7",BI1103,0)</f>
        <v>0</v>
      </c>
      <c r="AF1103" s="28">
        <f>IF(AQ1103="2",BH1103,0)</f>
        <v>0</v>
      </c>
      <c r="AG1103" s="28">
        <f>IF(AQ1103="2",BI1103,0)</f>
        <v>0</v>
      </c>
      <c r="AH1103" s="28">
        <f>IF(AQ1103="0",BJ1103,0)</f>
        <v>0</v>
      </c>
      <c r="AI1103" s="27" t="s">
        <v>283</v>
      </c>
      <c r="AJ1103" s="18">
        <f>IF(AN1103=0,M1103,0)</f>
        <v>0</v>
      </c>
      <c r="AK1103" s="18">
        <f>IF(AN1103=15,M1103,0)</f>
        <v>0</v>
      </c>
      <c r="AL1103" s="18">
        <f>IF(AN1103=21,M1103,0)</f>
        <v>0</v>
      </c>
      <c r="AN1103" s="28">
        <v>15</v>
      </c>
      <c r="AO1103" s="28">
        <f>J1103*0</f>
        <v>0</v>
      </c>
      <c r="AP1103" s="28">
        <f>J1103*(1-0)</f>
        <v>0</v>
      </c>
      <c r="AQ1103" s="29" t="s">
        <v>8</v>
      </c>
      <c r="AV1103" s="28">
        <f>AW1103+AX1103</f>
        <v>0</v>
      </c>
      <c r="AW1103" s="28">
        <f>I1103*AO1103</f>
        <v>0</v>
      </c>
      <c r="AX1103" s="28">
        <f>I1103*AP1103</f>
        <v>0</v>
      </c>
      <c r="AY1103" s="31" t="s">
        <v>1608</v>
      </c>
      <c r="AZ1103" s="31" t="s">
        <v>1613</v>
      </c>
      <c r="BA1103" s="27" t="s">
        <v>1628</v>
      </c>
      <c r="BC1103" s="28">
        <f>AW1103+AX1103</f>
        <v>0</v>
      </c>
      <c r="BD1103" s="28">
        <f>J1103/(100-BE1103)*100</f>
        <v>0</v>
      </c>
      <c r="BE1103" s="28">
        <v>0</v>
      </c>
      <c r="BF1103" s="28">
        <f>1103</f>
        <v>1103</v>
      </c>
      <c r="BH1103" s="18">
        <f>I1103*AO1103</f>
        <v>0</v>
      </c>
      <c r="BI1103" s="18">
        <f>I1103*AP1103</f>
        <v>0</v>
      </c>
      <c r="BJ1103" s="18">
        <f>I1103*J1103</f>
        <v>0</v>
      </c>
      <c r="BK1103" s="18" t="s">
        <v>1634</v>
      </c>
      <c r="BL1103" s="28" t="s">
        <v>560</v>
      </c>
    </row>
    <row r="1104" spans="1:15" ht="12.75">
      <c r="A1104" s="3"/>
      <c r="D1104" s="136" t="s">
        <v>1288</v>
      </c>
      <c r="E1104" s="137"/>
      <c r="F1104" s="137"/>
      <c r="G1104" s="137"/>
      <c r="H1104" s="137"/>
      <c r="I1104" s="137"/>
      <c r="J1104" s="137"/>
      <c r="K1104" s="137"/>
      <c r="L1104" s="137"/>
      <c r="M1104" s="137"/>
      <c r="N1104" s="138"/>
      <c r="O1104" s="3"/>
    </row>
    <row r="1105" spans="1:15" ht="12.75">
      <c r="A1105" s="82"/>
      <c r="B1105" s="83"/>
      <c r="C1105" s="83"/>
      <c r="D1105" s="85" t="s">
        <v>12</v>
      </c>
      <c r="G1105" s="86" t="s">
        <v>1527</v>
      </c>
      <c r="H1105" s="83"/>
      <c r="I1105" s="88">
        <v>6</v>
      </c>
      <c r="J1105" s="83"/>
      <c r="K1105" s="83"/>
      <c r="L1105" s="83"/>
      <c r="M1105" s="83"/>
      <c r="N1105" s="80"/>
      <c r="O1105" s="67"/>
    </row>
    <row r="1106" spans="1:15" ht="12.75">
      <c r="A1106" s="3"/>
      <c r="C1106" s="12" t="s">
        <v>296</v>
      </c>
      <c r="D1106" s="142" t="s">
        <v>877</v>
      </c>
      <c r="E1106" s="143"/>
      <c r="F1106" s="143"/>
      <c r="G1106" s="143"/>
      <c r="H1106" s="143"/>
      <c r="I1106" s="143"/>
      <c r="J1106" s="143"/>
      <c r="K1106" s="143"/>
      <c r="L1106" s="143"/>
      <c r="M1106" s="143"/>
      <c r="N1106" s="144"/>
      <c r="O1106" s="3"/>
    </row>
    <row r="1107" spans="1:64" ht="12.75">
      <c r="A1107" s="74" t="s">
        <v>262</v>
      </c>
      <c r="B1107" s="74" t="s">
        <v>283</v>
      </c>
      <c r="C1107" s="74" t="s">
        <v>562</v>
      </c>
      <c r="D1107" s="133" t="s">
        <v>1289</v>
      </c>
      <c r="E1107" s="134"/>
      <c r="F1107" s="134"/>
      <c r="G1107" s="135"/>
      <c r="H1107" s="74" t="s">
        <v>1538</v>
      </c>
      <c r="I1107" s="75">
        <v>2</v>
      </c>
      <c r="J1107" s="75">
        <v>0</v>
      </c>
      <c r="K1107" s="75">
        <f>I1107*AO1107</f>
        <v>0</v>
      </c>
      <c r="L1107" s="75">
        <f>I1107*AP1107</f>
        <v>0</v>
      </c>
      <c r="M1107" s="75">
        <f>I1107*J1107</f>
        <v>0</v>
      </c>
      <c r="N1107" s="78" t="s">
        <v>1555</v>
      </c>
      <c r="O1107" s="67"/>
      <c r="Z1107" s="28">
        <f>IF(AQ1107="5",BJ1107,0)</f>
        <v>0</v>
      </c>
      <c r="AB1107" s="28">
        <f>IF(AQ1107="1",BH1107,0)</f>
        <v>0</v>
      </c>
      <c r="AC1107" s="28">
        <f>IF(AQ1107="1",BI1107,0)</f>
        <v>0</v>
      </c>
      <c r="AD1107" s="28">
        <f>IF(AQ1107="7",BH1107,0)</f>
        <v>0</v>
      </c>
      <c r="AE1107" s="28">
        <f>IF(AQ1107="7",BI1107,0)</f>
        <v>0</v>
      </c>
      <c r="AF1107" s="28">
        <f>IF(AQ1107="2",BH1107,0)</f>
        <v>0</v>
      </c>
      <c r="AG1107" s="28">
        <f>IF(AQ1107="2",BI1107,0)</f>
        <v>0</v>
      </c>
      <c r="AH1107" s="28">
        <f>IF(AQ1107="0",BJ1107,0)</f>
        <v>0</v>
      </c>
      <c r="AI1107" s="27" t="s">
        <v>283</v>
      </c>
      <c r="AJ1107" s="18">
        <f>IF(AN1107=0,M1107,0)</f>
        <v>0</v>
      </c>
      <c r="AK1107" s="18">
        <f>IF(AN1107=15,M1107,0)</f>
        <v>0</v>
      </c>
      <c r="AL1107" s="18">
        <f>IF(AN1107=21,M1107,0)</f>
        <v>0</v>
      </c>
      <c r="AN1107" s="28">
        <v>15</v>
      </c>
      <c r="AO1107" s="28">
        <f>J1107*0</f>
        <v>0</v>
      </c>
      <c r="AP1107" s="28">
        <f>J1107*(1-0)</f>
        <v>0</v>
      </c>
      <c r="AQ1107" s="29" t="s">
        <v>8</v>
      </c>
      <c r="AV1107" s="28">
        <f>AW1107+AX1107</f>
        <v>0</v>
      </c>
      <c r="AW1107" s="28">
        <f>I1107*AO1107</f>
        <v>0</v>
      </c>
      <c r="AX1107" s="28">
        <f>I1107*AP1107</f>
        <v>0</v>
      </c>
      <c r="AY1107" s="31" t="s">
        <v>1608</v>
      </c>
      <c r="AZ1107" s="31" t="s">
        <v>1613</v>
      </c>
      <c r="BA1107" s="27" t="s">
        <v>1628</v>
      </c>
      <c r="BC1107" s="28">
        <f>AW1107+AX1107</f>
        <v>0</v>
      </c>
      <c r="BD1107" s="28">
        <f>J1107/(100-BE1107)*100</f>
        <v>0</v>
      </c>
      <c r="BE1107" s="28">
        <v>0</v>
      </c>
      <c r="BF1107" s="28">
        <f>1107</f>
        <v>1107</v>
      </c>
      <c r="BH1107" s="18">
        <f>I1107*AO1107</f>
        <v>0</v>
      </c>
      <c r="BI1107" s="18">
        <f>I1107*AP1107</f>
        <v>0</v>
      </c>
      <c r="BJ1107" s="18">
        <f>I1107*J1107</f>
        <v>0</v>
      </c>
      <c r="BK1107" s="18" t="s">
        <v>1634</v>
      </c>
      <c r="BL1107" s="28" t="s">
        <v>560</v>
      </c>
    </row>
    <row r="1108" spans="1:15" ht="12.75">
      <c r="A1108" s="3"/>
      <c r="D1108" s="136" t="s">
        <v>1290</v>
      </c>
      <c r="E1108" s="137"/>
      <c r="F1108" s="137"/>
      <c r="G1108" s="137"/>
      <c r="H1108" s="137"/>
      <c r="I1108" s="137"/>
      <c r="J1108" s="137"/>
      <c r="K1108" s="137"/>
      <c r="L1108" s="137"/>
      <c r="M1108" s="137"/>
      <c r="N1108" s="138"/>
      <c r="O1108" s="3"/>
    </row>
    <row r="1109" spans="1:15" ht="12.75">
      <c r="A1109" s="82"/>
      <c r="B1109" s="83"/>
      <c r="C1109" s="83"/>
      <c r="D1109" s="85" t="s">
        <v>8</v>
      </c>
      <c r="G1109" s="86" t="s">
        <v>1528</v>
      </c>
      <c r="H1109" s="83"/>
      <c r="I1109" s="88">
        <v>2</v>
      </c>
      <c r="J1109" s="83"/>
      <c r="K1109" s="83"/>
      <c r="L1109" s="83"/>
      <c r="M1109" s="83"/>
      <c r="N1109" s="80"/>
      <c r="O1109" s="67"/>
    </row>
    <row r="1110" spans="1:15" ht="12.75">
      <c r="A1110" s="3"/>
      <c r="C1110" s="12" t="s">
        <v>296</v>
      </c>
      <c r="D1110" s="142" t="s">
        <v>877</v>
      </c>
      <c r="E1110" s="143"/>
      <c r="F1110" s="143"/>
      <c r="G1110" s="143"/>
      <c r="H1110" s="143"/>
      <c r="I1110" s="143"/>
      <c r="J1110" s="143"/>
      <c r="K1110" s="143"/>
      <c r="L1110" s="143"/>
      <c r="M1110" s="143"/>
      <c r="N1110" s="144"/>
      <c r="O1110" s="3"/>
    </row>
    <row r="1111" spans="1:64" ht="12.75">
      <c r="A1111" s="74" t="s">
        <v>263</v>
      </c>
      <c r="B1111" s="74" t="s">
        <v>283</v>
      </c>
      <c r="C1111" s="74" t="s">
        <v>563</v>
      </c>
      <c r="D1111" s="133" t="s">
        <v>1291</v>
      </c>
      <c r="E1111" s="134"/>
      <c r="F1111" s="134"/>
      <c r="G1111" s="135"/>
      <c r="H1111" s="74" t="s">
        <v>1538</v>
      </c>
      <c r="I1111" s="75">
        <v>6</v>
      </c>
      <c r="J1111" s="75">
        <v>0</v>
      </c>
      <c r="K1111" s="75">
        <f>I1111*AO1111</f>
        <v>0</v>
      </c>
      <c r="L1111" s="75">
        <f>I1111*AP1111</f>
        <v>0</v>
      </c>
      <c r="M1111" s="75">
        <f>I1111*J1111</f>
        <v>0</v>
      </c>
      <c r="N1111" s="78" t="s">
        <v>1556</v>
      </c>
      <c r="O1111" s="67"/>
      <c r="Z1111" s="28">
        <f>IF(AQ1111="5",BJ1111,0)</f>
        <v>0</v>
      </c>
      <c r="AB1111" s="28">
        <f>IF(AQ1111="1",BH1111,0)</f>
        <v>0</v>
      </c>
      <c r="AC1111" s="28">
        <f>IF(AQ1111="1",BI1111,0)</f>
        <v>0</v>
      </c>
      <c r="AD1111" s="28">
        <f>IF(AQ1111="7",BH1111,0)</f>
        <v>0</v>
      </c>
      <c r="AE1111" s="28">
        <f>IF(AQ1111="7",BI1111,0)</f>
        <v>0</v>
      </c>
      <c r="AF1111" s="28">
        <f>IF(AQ1111="2",BH1111,0)</f>
        <v>0</v>
      </c>
      <c r="AG1111" s="28">
        <f>IF(AQ1111="2",BI1111,0)</f>
        <v>0</v>
      </c>
      <c r="AH1111" s="28">
        <f>IF(AQ1111="0",BJ1111,0)</f>
        <v>0</v>
      </c>
      <c r="AI1111" s="27" t="s">
        <v>283</v>
      </c>
      <c r="AJ1111" s="18">
        <f>IF(AN1111=0,M1111,0)</f>
        <v>0</v>
      </c>
      <c r="AK1111" s="18">
        <f>IF(AN1111=15,M1111,0)</f>
        <v>0</v>
      </c>
      <c r="AL1111" s="18">
        <f>IF(AN1111=21,M1111,0)</f>
        <v>0</v>
      </c>
      <c r="AN1111" s="28">
        <v>15</v>
      </c>
      <c r="AO1111" s="28">
        <f>J1111*0</f>
        <v>0</v>
      </c>
      <c r="AP1111" s="28">
        <f>J1111*(1-0)</f>
        <v>0</v>
      </c>
      <c r="AQ1111" s="29" t="s">
        <v>8</v>
      </c>
      <c r="AV1111" s="28">
        <f>AW1111+AX1111</f>
        <v>0</v>
      </c>
      <c r="AW1111" s="28">
        <f>I1111*AO1111</f>
        <v>0</v>
      </c>
      <c r="AX1111" s="28">
        <f>I1111*AP1111</f>
        <v>0</v>
      </c>
      <c r="AY1111" s="31" t="s">
        <v>1608</v>
      </c>
      <c r="AZ1111" s="31" t="s">
        <v>1613</v>
      </c>
      <c r="BA1111" s="27" t="s">
        <v>1628</v>
      </c>
      <c r="BC1111" s="28">
        <f>AW1111+AX1111</f>
        <v>0</v>
      </c>
      <c r="BD1111" s="28">
        <f>J1111/(100-BE1111)*100</f>
        <v>0</v>
      </c>
      <c r="BE1111" s="28">
        <v>0</v>
      </c>
      <c r="BF1111" s="28">
        <f>1111</f>
        <v>1111</v>
      </c>
      <c r="BH1111" s="18">
        <f>I1111*AO1111</f>
        <v>0</v>
      </c>
      <c r="BI1111" s="18">
        <f>I1111*AP1111</f>
        <v>0</v>
      </c>
      <c r="BJ1111" s="18">
        <f>I1111*J1111</f>
        <v>0</v>
      </c>
      <c r="BK1111" s="18" t="s">
        <v>1634</v>
      </c>
      <c r="BL1111" s="28" t="s">
        <v>560</v>
      </c>
    </row>
    <row r="1112" spans="1:15" ht="12.75">
      <c r="A1112" s="3"/>
      <c r="D1112" s="136" t="s">
        <v>1292</v>
      </c>
      <c r="E1112" s="137"/>
      <c r="F1112" s="137"/>
      <c r="G1112" s="137"/>
      <c r="H1112" s="137"/>
      <c r="I1112" s="137"/>
      <c r="J1112" s="137"/>
      <c r="K1112" s="137"/>
      <c r="L1112" s="137"/>
      <c r="M1112" s="137"/>
      <c r="N1112" s="138"/>
      <c r="O1112" s="3"/>
    </row>
    <row r="1113" spans="1:15" ht="12.75">
      <c r="A1113" s="82"/>
      <c r="B1113" s="83"/>
      <c r="C1113" s="83"/>
      <c r="D1113" s="85" t="s">
        <v>12</v>
      </c>
      <c r="G1113" s="86" t="s">
        <v>1411</v>
      </c>
      <c r="H1113" s="83"/>
      <c r="I1113" s="88">
        <v>6</v>
      </c>
      <c r="J1113" s="83"/>
      <c r="K1113" s="83"/>
      <c r="L1113" s="83"/>
      <c r="M1113" s="83"/>
      <c r="N1113" s="80"/>
      <c r="O1113" s="67"/>
    </row>
    <row r="1114" spans="1:15" ht="12.75">
      <c r="A1114" s="3"/>
      <c r="C1114" s="12" t="s">
        <v>296</v>
      </c>
      <c r="D1114" s="142" t="s">
        <v>622</v>
      </c>
      <c r="E1114" s="143"/>
      <c r="F1114" s="143"/>
      <c r="G1114" s="143"/>
      <c r="H1114" s="143"/>
      <c r="I1114" s="143"/>
      <c r="J1114" s="143"/>
      <c r="K1114" s="143"/>
      <c r="L1114" s="143"/>
      <c r="M1114" s="143"/>
      <c r="N1114" s="144"/>
      <c r="O1114" s="3"/>
    </row>
    <row r="1115" spans="1:47" ht="12.75">
      <c r="A1115" s="72"/>
      <c r="B1115" s="73" t="s">
        <v>283</v>
      </c>
      <c r="C1115" s="73" t="s">
        <v>564</v>
      </c>
      <c r="D1115" s="130" t="s">
        <v>1293</v>
      </c>
      <c r="E1115" s="131"/>
      <c r="F1115" s="131"/>
      <c r="G1115" s="132"/>
      <c r="H1115" s="72" t="s">
        <v>6</v>
      </c>
      <c r="I1115" s="72" t="s">
        <v>6</v>
      </c>
      <c r="J1115" s="72" t="s">
        <v>6</v>
      </c>
      <c r="K1115" s="76">
        <f>SUM(K1116:K1126)</f>
        <v>0</v>
      </c>
      <c r="L1115" s="76">
        <f>SUM(L1116:L1126)</f>
        <v>0</v>
      </c>
      <c r="M1115" s="76">
        <f>SUM(M1116:M1126)</f>
        <v>0</v>
      </c>
      <c r="N1115" s="71"/>
      <c r="O1115" s="67"/>
      <c r="AI1115" s="27" t="s">
        <v>283</v>
      </c>
      <c r="AS1115" s="33">
        <f>SUM(AJ1116:AJ1126)</f>
        <v>0</v>
      </c>
      <c r="AT1115" s="33">
        <f>SUM(AK1116:AK1126)</f>
        <v>0</v>
      </c>
      <c r="AU1115" s="33">
        <f>SUM(AL1116:AL1126)</f>
        <v>0</v>
      </c>
    </row>
    <row r="1116" spans="1:64" ht="12.75">
      <c r="A1116" s="81" t="s">
        <v>264</v>
      </c>
      <c r="B1116" s="81" t="s">
        <v>283</v>
      </c>
      <c r="C1116" s="81" t="s">
        <v>565</v>
      </c>
      <c r="D1116" s="139" t="s">
        <v>1294</v>
      </c>
      <c r="E1116" s="134"/>
      <c r="F1116" s="134"/>
      <c r="G1116" s="140"/>
      <c r="H1116" s="81" t="s">
        <v>1538</v>
      </c>
      <c r="I1116" s="87">
        <v>5</v>
      </c>
      <c r="J1116" s="87">
        <v>0</v>
      </c>
      <c r="K1116" s="87">
        <f>I1116*AO1116</f>
        <v>0</v>
      </c>
      <c r="L1116" s="87">
        <f>I1116*AP1116</f>
        <v>0</v>
      </c>
      <c r="M1116" s="87">
        <f>I1116*J1116</f>
        <v>0</v>
      </c>
      <c r="N1116" s="77" t="s">
        <v>1555</v>
      </c>
      <c r="O1116" s="67"/>
      <c r="Z1116" s="28">
        <f>IF(AQ1116="5",BJ1116,0)</f>
        <v>0</v>
      </c>
      <c r="AB1116" s="28">
        <f>IF(AQ1116="1",BH1116,0)</f>
        <v>0</v>
      </c>
      <c r="AC1116" s="28">
        <f>IF(AQ1116="1",BI1116,0)</f>
        <v>0</v>
      </c>
      <c r="AD1116" s="28">
        <f>IF(AQ1116="7",BH1116,0)</f>
        <v>0</v>
      </c>
      <c r="AE1116" s="28">
        <f>IF(AQ1116="7",BI1116,0)</f>
        <v>0</v>
      </c>
      <c r="AF1116" s="28">
        <f>IF(AQ1116="2",BH1116,0)</f>
        <v>0</v>
      </c>
      <c r="AG1116" s="28">
        <f>IF(AQ1116="2",BI1116,0)</f>
        <v>0</v>
      </c>
      <c r="AH1116" s="28">
        <f>IF(AQ1116="0",BJ1116,0)</f>
        <v>0</v>
      </c>
      <c r="AI1116" s="27" t="s">
        <v>283</v>
      </c>
      <c r="AJ1116" s="18">
        <f>IF(AN1116=0,M1116,0)</f>
        <v>0</v>
      </c>
      <c r="AK1116" s="18">
        <f>IF(AN1116=15,M1116,0)</f>
        <v>0</v>
      </c>
      <c r="AL1116" s="18">
        <f>IF(AN1116=21,M1116,0)</f>
        <v>0</v>
      </c>
      <c r="AN1116" s="28">
        <v>15</v>
      </c>
      <c r="AO1116" s="28">
        <f>J1116*0.25</f>
        <v>0</v>
      </c>
      <c r="AP1116" s="28">
        <f>J1116*(1-0.25)</f>
        <v>0</v>
      </c>
      <c r="AQ1116" s="29" t="s">
        <v>8</v>
      </c>
      <c r="AV1116" s="28">
        <f>AW1116+AX1116</f>
        <v>0</v>
      </c>
      <c r="AW1116" s="28">
        <f>I1116*AO1116</f>
        <v>0</v>
      </c>
      <c r="AX1116" s="28">
        <f>I1116*AP1116</f>
        <v>0</v>
      </c>
      <c r="AY1116" s="31" t="s">
        <v>1609</v>
      </c>
      <c r="AZ1116" s="31" t="s">
        <v>1613</v>
      </c>
      <c r="BA1116" s="27" t="s">
        <v>1628</v>
      </c>
      <c r="BC1116" s="28">
        <f>AW1116+AX1116</f>
        <v>0</v>
      </c>
      <c r="BD1116" s="28">
        <f>J1116/(100-BE1116)*100</f>
        <v>0</v>
      </c>
      <c r="BE1116" s="28">
        <v>0</v>
      </c>
      <c r="BF1116" s="28">
        <f>1116</f>
        <v>1116</v>
      </c>
      <c r="BH1116" s="18">
        <f>I1116*AO1116</f>
        <v>0</v>
      </c>
      <c r="BI1116" s="18">
        <f>I1116*AP1116</f>
        <v>0</v>
      </c>
      <c r="BJ1116" s="18">
        <f>I1116*J1116</f>
        <v>0</v>
      </c>
      <c r="BK1116" s="18" t="s">
        <v>1634</v>
      </c>
      <c r="BL1116" s="28" t="s">
        <v>564</v>
      </c>
    </row>
    <row r="1117" spans="1:15" ht="12.75">
      <c r="A1117" s="82"/>
      <c r="B1117" s="83"/>
      <c r="C1117" s="83"/>
      <c r="D1117" s="85" t="s">
        <v>11</v>
      </c>
      <c r="G1117" s="86"/>
      <c r="H1117" s="83"/>
      <c r="I1117" s="88">
        <v>5</v>
      </c>
      <c r="J1117" s="83"/>
      <c r="K1117" s="83"/>
      <c r="L1117" s="83"/>
      <c r="M1117" s="83"/>
      <c r="N1117" s="80"/>
      <c r="O1117" s="67"/>
    </row>
    <row r="1118" spans="1:15" ht="12.75">
      <c r="A1118" s="3"/>
      <c r="C1118" s="12" t="s">
        <v>296</v>
      </c>
      <c r="D1118" s="142" t="s">
        <v>622</v>
      </c>
      <c r="E1118" s="143"/>
      <c r="F1118" s="143"/>
      <c r="G1118" s="143"/>
      <c r="H1118" s="143"/>
      <c r="I1118" s="143"/>
      <c r="J1118" s="143"/>
      <c r="K1118" s="143"/>
      <c r="L1118" s="143"/>
      <c r="M1118" s="143"/>
      <c r="N1118" s="144"/>
      <c r="O1118" s="3"/>
    </row>
    <row r="1119" spans="1:64" ht="12.75">
      <c r="A1119" s="74" t="s">
        <v>265</v>
      </c>
      <c r="B1119" s="74" t="s">
        <v>283</v>
      </c>
      <c r="C1119" s="74" t="s">
        <v>566</v>
      </c>
      <c r="D1119" s="133" t="s">
        <v>1295</v>
      </c>
      <c r="E1119" s="134"/>
      <c r="F1119" s="134"/>
      <c r="G1119" s="135"/>
      <c r="H1119" s="74" t="s">
        <v>1542</v>
      </c>
      <c r="I1119" s="75">
        <v>1</v>
      </c>
      <c r="J1119" s="75">
        <v>0</v>
      </c>
      <c r="K1119" s="75">
        <f>I1119*AO1119</f>
        <v>0</v>
      </c>
      <c r="L1119" s="75">
        <f>I1119*AP1119</f>
        <v>0</v>
      </c>
      <c r="M1119" s="75">
        <f>I1119*J1119</f>
        <v>0</v>
      </c>
      <c r="N1119" s="78" t="s">
        <v>1555</v>
      </c>
      <c r="O1119" s="67"/>
      <c r="Z1119" s="28">
        <f>IF(AQ1119="5",BJ1119,0)</f>
        <v>0</v>
      </c>
      <c r="AB1119" s="28">
        <f>IF(AQ1119="1",BH1119,0)</f>
        <v>0</v>
      </c>
      <c r="AC1119" s="28">
        <f>IF(AQ1119="1",BI1119,0)</f>
        <v>0</v>
      </c>
      <c r="AD1119" s="28">
        <f>IF(AQ1119="7",BH1119,0)</f>
        <v>0</v>
      </c>
      <c r="AE1119" s="28">
        <f>IF(AQ1119="7",BI1119,0)</f>
        <v>0</v>
      </c>
      <c r="AF1119" s="28">
        <f>IF(AQ1119="2",BH1119,0)</f>
        <v>0</v>
      </c>
      <c r="AG1119" s="28">
        <f>IF(AQ1119="2",BI1119,0)</f>
        <v>0</v>
      </c>
      <c r="AH1119" s="28">
        <f>IF(AQ1119="0",BJ1119,0)</f>
        <v>0</v>
      </c>
      <c r="AI1119" s="27" t="s">
        <v>283</v>
      </c>
      <c r="AJ1119" s="18">
        <f>IF(AN1119=0,M1119,0)</f>
        <v>0</v>
      </c>
      <c r="AK1119" s="18">
        <f>IF(AN1119=15,M1119,0)</f>
        <v>0</v>
      </c>
      <c r="AL1119" s="18">
        <f>IF(AN1119=21,M1119,0)</f>
        <v>0</v>
      </c>
      <c r="AN1119" s="28">
        <v>15</v>
      </c>
      <c r="AO1119" s="28">
        <f>J1119*1</f>
        <v>0</v>
      </c>
      <c r="AP1119" s="28">
        <f>J1119*(1-1)</f>
        <v>0</v>
      </c>
      <c r="AQ1119" s="29" t="s">
        <v>7</v>
      </c>
      <c r="AV1119" s="28">
        <f>AW1119+AX1119</f>
        <v>0</v>
      </c>
      <c r="AW1119" s="28">
        <f>I1119*AO1119</f>
        <v>0</v>
      </c>
      <c r="AX1119" s="28">
        <f>I1119*AP1119</f>
        <v>0</v>
      </c>
      <c r="AY1119" s="31" t="s">
        <v>1609</v>
      </c>
      <c r="AZ1119" s="31" t="s">
        <v>1613</v>
      </c>
      <c r="BA1119" s="27" t="s">
        <v>1628</v>
      </c>
      <c r="BC1119" s="28">
        <f>AW1119+AX1119</f>
        <v>0</v>
      </c>
      <c r="BD1119" s="28">
        <f>J1119/(100-BE1119)*100</f>
        <v>0</v>
      </c>
      <c r="BE1119" s="28">
        <v>0</v>
      </c>
      <c r="BF1119" s="28">
        <f>1119</f>
        <v>1119</v>
      </c>
      <c r="BH1119" s="18">
        <f>I1119*AO1119</f>
        <v>0</v>
      </c>
      <c r="BI1119" s="18">
        <f>I1119*AP1119</f>
        <v>0</v>
      </c>
      <c r="BJ1119" s="18">
        <f>I1119*J1119</f>
        <v>0</v>
      </c>
      <c r="BK1119" s="18" t="s">
        <v>1634</v>
      </c>
      <c r="BL1119" s="28" t="s">
        <v>564</v>
      </c>
    </row>
    <row r="1120" spans="1:15" ht="12.75">
      <c r="A1120" s="3"/>
      <c r="D1120" s="136" t="s">
        <v>1296</v>
      </c>
      <c r="E1120" s="137"/>
      <c r="F1120" s="137"/>
      <c r="G1120" s="137"/>
      <c r="H1120" s="137"/>
      <c r="I1120" s="137"/>
      <c r="J1120" s="137"/>
      <c r="K1120" s="137"/>
      <c r="L1120" s="137"/>
      <c r="M1120" s="137"/>
      <c r="N1120" s="138"/>
      <c r="O1120" s="3"/>
    </row>
    <row r="1121" spans="1:15" ht="12.75">
      <c r="A1121" s="82"/>
      <c r="B1121" s="83"/>
      <c r="C1121" s="83"/>
      <c r="D1121" s="85" t="s">
        <v>7</v>
      </c>
      <c r="G1121" s="86"/>
      <c r="H1121" s="83"/>
      <c r="I1121" s="88">
        <v>1</v>
      </c>
      <c r="J1121" s="83"/>
      <c r="K1121" s="83"/>
      <c r="L1121" s="83"/>
      <c r="M1121" s="83"/>
      <c r="N1121" s="80"/>
      <c r="O1121" s="67"/>
    </row>
    <row r="1122" spans="1:15" ht="12.75">
      <c r="A1122" s="3"/>
      <c r="C1122" s="12" t="s">
        <v>296</v>
      </c>
      <c r="D1122" s="142" t="s">
        <v>622</v>
      </c>
      <c r="E1122" s="143"/>
      <c r="F1122" s="143"/>
      <c r="G1122" s="143"/>
      <c r="H1122" s="143"/>
      <c r="I1122" s="143"/>
      <c r="J1122" s="143"/>
      <c r="K1122" s="143"/>
      <c r="L1122" s="143"/>
      <c r="M1122" s="143"/>
      <c r="N1122" s="144"/>
      <c r="O1122" s="3"/>
    </row>
    <row r="1123" spans="1:64" ht="12.75">
      <c r="A1123" s="94" t="s">
        <v>266</v>
      </c>
      <c r="B1123" s="94" t="s">
        <v>283</v>
      </c>
      <c r="C1123" s="94" t="s">
        <v>567</v>
      </c>
      <c r="D1123" s="148" t="s">
        <v>1297</v>
      </c>
      <c r="E1123" s="149"/>
      <c r="F1123" s="149"/>
      <c r="G1123" s="150"/>
      <c r="H1123" s="94" t="s">
        <v>1542</v>
      </c>
      <c r="I1123" s="95">
        <v>1</v>
      </c>
      <c r="J1123" s="95">
        <v>0</v>
      </c>
      <c r="K1123" s="95">
        <f>I1123*AO1123</f>
        <v>0</v>
      </c>
      <c r="L1123" s="95">
        <f>I1123*AP1123</f>
        <v>0</v>
      </c>
      <c r="M1123" s="95">
        <f>I1123*J1123</f>
        <v>0</v>
      </c>
      <c r="N1123" s="93" t="s">
        <v>1555</v>
      </c>
      <c r="O1123" s="67"/>
      <c r="Z1123" s="28">
        <f>IF(AQ1123="5",BJ1123,0)</f>
        <v>0</v>
      </c>
      <c r="AB1123" s="28">
        <f>IF(AQ1123="1",BH1123,0)</f>
        <v>0</v>
      </c>
      <c r="AC1123" s="28">
        <f>IF(AQ1123="1",BI1123,0)</f>
        <v>0</v>
      </c>
      <c r="AD1123" s="28">
        <f>IF(AQ1123="7",BH1123,0)</f>
        <v>0</v>
      </c>
      <c r="AE1123" s="28">
        <f>IF(AQ1123="7",BI1123,0)</f>
        <v>0</v>
      </c>
      <c r="AF1123" s="28">
        <f>IF(AQ1123="2",BH1123,0)</f>
        <v>0</v>
      </c>
      <c r="AG1123" s="28">
        <f>IF(AQ1123="2",BI1123,0)</f>
        <v>0</v>
      </c>
      <c r="AH1123" s="28">
        <f>IF(AQ1123="0",BJ1123,0)</f>
        <v>0</v>
      </c>
      <c r="AI1123" s="27" t="s">
        <v>283</v>
      </c>
      <c r="AJ1123" s="20">
        <f>IF(AN1123=0,M1123,0)</f>
        <v>0</v>
      </c>
      <c r="AK1123" s="20">
        <f>IF(AN1123=15,M1123,0)</f>
        <v>0</v>
      </c>
      <c r="AL1123" s="20">
        <f>IF(AN1123=21,M1123,0)</f>
        <v>0</v>
      </c>
      <c r="AN1123" s="28">
        <v>15</v>
      </c>
      <c r="AO1123" s="28">
        <f>J1123*1</f>
        <v>0</v>
      </c>
      <c r="AP1123" s="28">
        <f>J1123*(1-1)</f>
        <v>0</v>
      </c>
      <c r="AQ1123" s="30" t="s">
        <v>7</v>
      </c>
      <c r="AV1123" s="28">
        <f>AW1123+AX1123</f>
        <v>0</v>
      </c>
      <c r="AW1123" s="28">
        <f>I1123*AO1123</f>
        <v>0</v>
      </c>
      <c r="AX1123" s="28">
        <f>I1123*AP1123</f>
        <v>0</v>
      </c>
      <c r="AY1123" s="31" t="s">
        <v>1609</v>
      </c>
      <c r="AZ1123" s="31" t="s">
        <v>1613</v>
      </c>
      <c r="BA1123" s="27" t="s">
        <v>1628</v>
      </c>
      <c r="BC1123" s="28">
        <f>AW1123+AX1123</f>
        <v>0</v>
      </c>
      <c r="BD1123" s="28">
        <f>J1123/(100-BE1123)*100</f>
        <v>0</v>
      </c>
      <c r="BE1123" s="28">
        <v>0</v>
      </c>
      <c r="BF1123" s="28">
        <f>1123</f>
        <v>1123</v>
      </c>
      <c r="BH1123" s="20">
        <f>I1123*AO1123</f>
        <v>0</v>
      </c>
      <c r="BI1123" s="20">
        <f>I1123*AP1123</f>
        <v>0</v>
      </c>
      <c r="BJ1123" s="20">
        <f>I1123*J1123</f>
        <v>0</v>
      </c>
      <c r="BK1123" s="20" t="s">
        <v>1635</v>
      </c>
      <c r="BL1123" s="28" t="s">
        <v>564</v>
      </c>
    </row>
    <row r="1124" spans="1:15" ht="12.75">
      <c r="A1124" s="82"/>
      <c r="B1124" s="83"/>
      <c r="C1124" s="83"/>
      <c r="D1124" s="85" t="s">
        <v>7</v>
      </c>
      <c r="G1124" s="86"/>
      <c r="H1124" s="83"/>
      <c r="I1124" s="88">
        <v>1</v>
      </c>
      <c r="J1124" s="83"/>
      <c r="K1124" s="83"/>
      <c r="L1124" s="83"/>
      <c r="M1124" s="83"/>
      <c r="N1124" s="80"/>
      <c r="O1124" s="67"/>
    </row>
    <row r="1125" spans="1:15" ht="12.75">
      <c r="A1125" s="3"/>
      <c r="C1125" s="12" t="s">
        <v>296</v>
      </c>
      <c r="D1125" s="142" t="s">
        <v>622</v>
      </c>
      <c r="E1125" s="143"/>
      <c r="F1125" s="143"/>
      <c r="G1125" s="143"/>
      <c r="H1125" s="143"/>
      <c r="I1125" s="143"/>
      <c r="J1125" s="143"/>
      <c r="K1125" s="143"/>
      <c r="L1125" s="143"/>
      <c r="M1125" s="143"/>
      <c r="N1125" s="144"/>
      <c r="O1125" s="3"/>
    </row>
    <row r="1126" spans="1:64" ht="12.75">
      <c r="A1126" s="94" t="s">
        <v>267</v>
      </c>
      <c r="B1126" s="94" t="s">
        <v>283</v>
      </c>
      <c r="C1126" s="94" t="s">
        <v>568</v>
      </c>
      <c r="D1126" s="148" t="s">
        <v>1298</v>
      </c>
      <c r="E1126" s="149"/>
      <c r="F1126" s="149"/>
      <c r="G1126" s="150"/>
      <c r="H1126" s="94" t="s">
        <v>1542</v>
      </c>
      <c r="I1126" s="95">
        <v>1</v>
      </c>
      <c r="J1126" s="95">
        <v>0</v>
      </c>
      <c r="K1126" s="95">
        <f>I1126*AO1126</f>
        <v>0</v>
      </c>
      <c r="L1126" s="95">
        <f>I1126*AP1126</f>
        <v>0</v>
      </c>
      <c r="M1126" s="95">
        <f>I1126*J1126</f>
        <v>0</v>
      </c>
      <c r="N1126" s="93" t="s">
        <v>1555</v>
      </c>
      <c r="O1126" s="67"/>
      <c r="Z1126" s="28">
        <f>IF(AQ1126="5",BJ1126,0)</f>
        <v>0</v>
      </c>
      <c r="AB1126" s="28">
        <f>IF(AQ1126="1",BH1126,0)</f>
        <v>0</v>
      </c>
      <c r="AC1126" s="28">
        <f>IF(AQ1126="1",BI1126,0)</f>
        <v>0</v>
      </c>
      <c r="AD1126" s="28">
        <f>IF(AQ1126="7",BH1126,0)</f>
        <v>0</v>
      </c>
      <c r="AE1126" s="28">
        <f>IF(AQ1126="7",BI1126,0)</f>
        <v>0</v>
      </c>
      <c r="AF1126" s="28">
        <f>IF(AQ1126="2",BH1126,0)</f>
        <v>0</v>
      </c>
      <c r="AG1126" s="28">
        <f>IF(AQ1126="2",BI1126,0)</f>
        <v>0</v>
      </c>
      <c r="AH1126" s="28">
        <f>IF(AQ1126="0",BJ1126,0)</f>
        <v>0</v>
      </c>
      <c r="AI1126" s="27" t="s">
        <v>283</v>
      </c>
      <c r="AJ1126" s="20">
        <f>IF(AN1126=0,M1126,0)</f>
        <v>0</v>
      </c>
      <c r="AK1126" s="20">
        <f>IF(AN1126=15,M1126,0)</f>
        <v>0</v>
      </c>
      <c r="AL1126" s="20">
        <f>IF(AN1126=21,M1126,0)</f>
        <v>0</v>
      </c>
      <c r="AN1126" s="28">
        <v>15</v>
      </c>
      <c r="AO1126" s="28">
        <f>J1126*1</f>
        <v>0</v>
      </c>
      <c r="AP1126" s="28">
        <f>J1126*(1-1)</f>
        <v>0</v>
      </c>
      <c r="AQ1126" s="30" t="s">
        <v>7</v>
      </c>
      <c r="AV1126" s="28">
        <f>AW1126+AX1126</f>
        <v>0</v>
      </c>
      <c r="AW1126" s="28">
        <f>I1126*AO1126</f>
        <v>0</v>
      </c>
      <c r="AX1126" s="28">
        <f>I1126*AP1126</f>
        <v>0</v>
      </c>
      <c r="AY1126" s="31" t="s">
        <v>1609</v>
      </c>
      <c r="AZ1126" s="31" t="s">
        <v>1613</v>
      </c>
      <c r="BA1126" s="27" t="s">
        <v>1628</v>
      </c>
      <c r="BC1126" s="28">
        <f>AW1126+AX1126</f>
        <v>0</v>
      </c>
      <c r="BD1126" s="28">
        <f>J1126/(100-BE1126)*100</f>
        <v>0</v>
      </c>
      <c r="BE1126" s="28">
        <v>0</v>
      </c>
      <c r="BF1126" s="28">
        <f>1126</f>
        <v>1126</v>
      </c>
      <c r="BH1126" s="20">
        <f>I1126*AO1126</f>
        <v>0</v>
      </c>
      <c r="BI1126" s="20">
        <f>I1126*AP1126</f>
        <v>0</v>
      </c>
      <c r="BJ1126" s="20">
        <f>I1126*J1126</f>
        <v>0</v>
      </c>
      <c r="BK1126" s="20" t="s">
        <v>1635</v>
      </c>
      <c r="BL1126" s="28" t="s">
        <v>564</v>
      </c>
    </row>
    <row r="1127" spans="1:15" ht="12.75">
      <c r="A1127" s="82"/>
      <c r="B1127" s="83"/>
      <c r="C1127" s="83"/>
      <c r="D1127" s="85" t="s">
        <v>7</v>
      </c>
      <c r="G1127" s="86"/>
      <c r="H1127" s="83"/>
      <c r="I1127" s="88">
        <v>1</v>
      </c>
      <c r="J1127" s="83"/>
      <c r="K1127" s="83"/>
      <c r="L1127" s="83"/>
      <c r="M1127" s="83"/>
      <c r="N1127" s="80"/>
      <c r="O1127" s="67"/>
    </row>
    <row r="1128" spans="1:15" ht="12.75">
      <c r="A1128" s="3"/>
      <c r="C1128" s="12" t="s">
        <v>296</v>
      </c>
      <c r="D1128" s="142" t="s">
        <v>622</v>
      </c>
      <c r="E1128" s="143"/>
      <c r="F1128" s="143"/>
      <c r="G1128" s="143"/>
      <c r="H1128" s="143"/>
      <c r="I1128" s="143"/>
      <c r="J1128" s="143"/>
      <c r="K1128" s="143"/>
      <c r="L1128" s="143"/>
      <c r="M1128" s="143"/>
      <c r="N1128" s="144"/>
      <c r="O1128" s="3"/>
    </row>
    <row r="1129" spans="1:47" ht="12.75">
      <c r="A1129" s="72"/>
      <c r="B1129" s="73" t="s">
        <v>283</v>
      </c>
      <c r="C1129" s="73" t="s">
        <v>569</v>
      </c>
      <c r="D1129" s="130" t="s">
        <v>1299</v>
      </c>
      <c r="E1129" s="131"/>
      <c r="F1129" s="131"/>
      <c r="G1129" s="132"/>
      <c r="H1129" s="72" t="s">
        <v>6</v>
      </c>
      <c r="I1129" s="72" t="s">
        <v>6</v>
      </c>
      <c r="J1129" s="72" t="s">
        <v>6</v>
      </c>
      <c r="K1129" s="76">
        <f>SUM(K1130:K1144)</f>
        <v>0</v>
      </c>
      <c r="L1129" s="76">
        <f>SUM(L1130:L1144)</f>
        <v>0</v>
      </c>
      <c r="M1129" s="76">
        <f>SUM(M1130:M1144)</f>
        <v>0</v>
      </c>
      <c r="N1129" s="71"/>
      <c r="O1129" s="67"/>
      <c r="AI1129" s="27" t="s">
        <v>283</v>
      </c>
      <c r="AS1129" s="33">
        <f>SUM(AJ1130:AJ1144)</f>
        <v>0</v>
      </c>
      <c r="AT1129" s="33">
        <f>SUM(AK1130:AK1144)</f>
        <v>0</v>
      </c>
      <c r="AU1129" s="33">
        <f>SUM(AL1130:AL1144)</f>
        <v>0</v>
      </c>
    </row>
    <row r="1130" spans="1:64" ht="12.75">
      <c r="A1130" s="74" t="s">
        <v>268</v>
      </c>
      <c r="B1130" s="74" t="s">
        <v>283</v>
      </c>
      <c r="C1130" s="74" t="s">
        <v>570</v>
      </c>
      <c r="D1130" s="133" t="s">
        <v>1300</v>
      </c>
      <c r="E1130" s="134"/>
      <c r="F1130" s="134"/>
      <c r="G1130" s="135"/>
      <c r="H1130" s="74" t="s">
        <v>1543</v>
      </c>
      <c r="I1130" s="75">
        <v>59.11557</v>
      </c>
      <c r="J1130" s="75">
        <v>0</v>
      </c>
      <c r="K1130" s="75">
        <f>I1130*AO1130</f>
        <v>0</v>
      </c>
      <c r="L1130" s="75">
        <f>I1130*AP1130</f>
        <v>0</v>
      </c>
      <c r="M1130" s="75">
        <f>I1130*J1130</f>
        <v>0</v>
      </c>
      <c r="N1130" s="78" t="s">
        <v>1556</v>
      </c>
      <c r="O1130" s="67"/>
      <c r="Z1130" s="28">
        <f>IF(AQ1130="5",BJ1130,0)</f>
        <v>0</v>
      </c>
      <c r="AB1130" s="28">
        <f>IF(AQ1130="1",BH1130,0)</f>
        <v>0</v>
      </c>
      <c r="AC1130" s="28">
        <f>IF(AQ1130="1",BI1130,0)</f>
        <v>0</v>
      </c>
      <c r="AD1130" s="28">
        <f>IF(AQ1130="7",BH1130,0)</f>
        <v>0</v>
      </c>
      <c r="AE1130" s="28">
        <f>IF(AQ1130="7",BI1130,0)</f>
        <v>0</v>
      </c>
      <c r="AF1130" s="28">
        <f>IF(AQ1130="2",BH1130,0)</f>
        <v>0</v>
      </c>
      <c r="AG1130" s="28">
        <f>IF(AQ1130="2",BI1130,0)</f>
        <v>0</v>
      </c>
      <c r="AH1130" s="28">
        <f>IF(AQ1130="0",BJ1130,0)</f>
        <v>0</v>
      </c>
      <c r="AI1130" s="27" t="s">
        <v>283</v>
      </c>
      <c r="AJ1130" s="18">
        <f>IF(AN1130=0,M1130,0)</f>
        <v>0</v>
      </c>
      <c r="AK1130" s="18">
        <f>IF(AN1130=15,M1130,0)</f>
        <v>0</v>
      </c>
      <c r="AL1130" s="18">
        <f>IF(AN1130=21,M1130,0)</f>
        <v>0</v>
      </c>
      <c r="AN1130" s="28">
        <v>15</v>
      </c>
      <c r="AO1130" s="28">
        <f>J1130*0</f>
        <v>0</v>
      </c>
      <c r="AP1130" s="28">
        <f>J1130*(1-0)</f>
        <v>0</v>
      </c>
      <c r="AQ1130" s="29" t="s">
        <v>11</v>
      </c>
      <c r="AV1130" s="28">
        <f>AW1130+AX1130</f>
        <v>0</v>
      </c>
      <c r="AW1130" s="28">
        <f>I1130*AO1130</f>
        <v>0</v>
      </c>
      <c r="AX1130" s="28">
        <f>I1130*AP1130</f>
        <v>0</v>
      </c>
      <c r="AY1130" s="31" t="s">
        <v>1610</v>
      </c>
      <c r="AZ1130" s="31" t="s">
        <v>1613</v>
      </c>
      <c r="BA1130" s="27" t="s">
        <v>1628</v>
      </c>
      <c r="BC1130" s="28">
        <f>AW1130+AX1130</f>
        <v>0</v>
      </c>
      <c r="BD1130" s="28">
        <f>J1130/(100-BE1130)*100</f>
        <v>0</v>
      </c>
      <c r="BE1130" s="28">
        <v>0</v>
      </c>
      <c r="BF1130" s="28">
        <f>1130</f>
        <v>1130</v>
      </c>
      <c r="BH1130" s="18">
        <f>I1130*AO1130</f>
        <v>0</v>
      </c>
      <c r="BI1130" s="18">
        <f>I1130*AP1130</f>
        <v>0</v>
      </c>
      <c r="BJ1130" s="18">
        <f>I1130*J1130</f>
        <v>0</v>
      </c>
      <c r="BK1130" s="18" t="s">
        <v>1634</v>
      </c>
      <c r="BL1130" s="28" t="s">
        <v>569</v>
      </c>
    </row>
    <row r="1131" spans="1:15" ht="12.75">
      <c r="A1131" s="3"/>
      <c r="C1131" s="13" t="s">
        <v>302</v>
      </c>
      <c r="D1131" s="145" t="s">
        <v>1301</v>
      </c>
      <c r="E1131" s="146"/>
      <c r="F1131" s="146"/>
      <c r="G1131" s="146"/>
      <c r="H1131" s="146"/>
      <c r="I1131" s="146"/>
      <c r="J1131" s="146"/>
      <c r="K1131" s="146"/>
      <c r="L1131" s="146"/>
      <c r="M1131" s="146"/>
      <c r="N1131" s="147"/>
      <c r="O1131" s="3"/>
    </row>
    <row r="1132" spans="1:64" ht="12.75">
      <c r="A1132" s="81" t="s">
        <v>269</v>
      </c>
      <c r="B1132" s="81" t="s">
        <v>283</v>
      </c>
      <c r="C1132" s="81" t="s">
        <v>571</v>
      </c>
      <c r="D1132" s="139" t="s">
        <v>1302</v>
      </c>
      <c r="E1132" s="134"/>
      <c r="F1132" s="134"/>
      <c r="G1132" s="140"/>
      <c r="H1132" s="81" t="s">
        <v>1543</v>
      </c>
      <c r="I1132" s="87">
        <v>118.73136</v>
      </c>
      <c r="J1132" s="87">
        <v>0</v>
      </c>
      <c r="K1132" s="87">
        <f>I1132*AO1132</f>
        <v>0</v>
      </c>
      <c r="L1132" s="87">
        <f>I1132*AP1132</f>
        <v>0</v>
      </c>
      <c r="M1132" s="87">
        <f>I1132*J1132</f>
        <v>0</v>
      </c>
      <c r="N1132" s="77" t="s">
        <v>1556</v>
      </c>
      <c r="O1132" s="67"/>
      <c r="Z1132" s="28">
        <f>IF(AQ1132="5",BJ1132,0)</f>
        <v>0</v>
      </c>
      <c r="AB1132" s="28">
        <f>IF(AQ1132="1",BH1132,0)</f>
        <v>0</v>
      </c>
      <c r="AC1132" s="28">
        <f>IF(AQ1132="1",BI1132,0)</f>
        <v>0</v>
      </c>
      <c r="AD1132" s="28">
        <f>IF(AQ1132="7",BH1132,0)</f>
        <v>0</v>
      </c>
      <c r="AE1132" s="28">
        <f>IF(AQ1132="7",BI1132,0)</f>
        <v>0</v>
      </c>
      <c r="AF1132" s="28">
        <f>IF(AQ1132="2",BH1132,0)</f>
        <v>0</v>
      </c>
      <c r="AG1132" s="28">
        <f>IF(AQ1132="2",BI1132,0)</f>
        <v>0</v>
      </c>
      <c r="AH1132" s="28">
        <f>IF(AQ1132="0",BJ1132,0)</f>
        <v>0</v>
      </c>
      <c r="AI1132" s="27" t="s">
        <v>283</v>
      </c>
      <c r="AJ1132" s="18">
        <f>IF(AN1132=0,M1132,0)</f>
        <v>0</v>
      </c>
      <c r="AK1132" s="18">
        <f>IF(AN1132=15,M1132,0)</f>
        <v>0</v>
      </c>
      <c r="AL1132" s="18">
        <f>IF(AN1132=21,M1132,0)</f>
        <v>0</v>
      </c>
      <c r="AN1132" s="28">
        <v>15</v>
      </c>
      <c r="AO1132" s="28">
        <f>J1132*0</f>
        <v>0</v>
      </c>
      <c r="AP1132" s="28">
        <f>J1132*(1-0)</f>
        <v>0</v>
      </c>
      <c r="AQ1132" s="29" t="s">
        <v>11</v>
      </c>
      <c r="AV1132" s="28">
        <f>AW1132+AX1132</f>
        <v>0</v>
      </c>
      <c r="AW1132" s="28">
        <f>I1132*AO1132</f>
        <v>0</v>
      </c>
      <c r="AX1132" s="28">
        <f>I1132*AP1132</f>
        <v>0</v>
      </c>
      <c r="AY1132" s="31" t="s">
        <v>1610</v>
      </c>
      <c r="AZ1132" s="31" t="s">
        <v>1613</v>
      </c>
      <c r="BA1132" s="27" t="s">
        <v>1628</v>
      </c>
      <c r="BC1132" s="28">
        <f>AW1132+AX1132</f>
        <v>0</v>
      </c>
      <c r="BD1132" s="28">
        <f>J1132/(100-BE1132)*100</f>
        <v>0</v>
      </c>
      <c r="BE1132" s="28">
        <v>0</v>
      </c>
      <c r="BF1132" s="28">
        <f>1132</f>
        <v>1132</v>
      </c>
      <c r="BH1132" s="18">
        <f>I1132*AO1132</f>
        <v>0</v>
      </c>
      <c r="BI1132" s="18">
        <f>I1132*AP1132</f>
        <v>0</v>
      </c>
      <c r="BJ1132" s="18">
        <f>I1132*J1132</f>
        <v>0</v>
      </c>
      <c r="BK1132" s="18" t="s">
        <v>1634</v>
      </c>
      <c r="BL1132" s="28" t="s">
        <v>569</v>
      </c>
    </row>
    <row r="1133" spans="1:15" ht="12.75">
      <c r="A1133" s="89"/>
      <c r="B1133" s="90"/>
      <c r="C1133" s="90"/>
      <c r="D1133" s="84" t="s">
        <v>1303</v>
      </c>
      <c r="G1133" s="91" t="s">
        <v>1529</v>
      </c>
      <c r="H1133" s="90"/>
      <c r="I1133" s="92">
        <v>118.73136</v>
      </c>
      <c r="J1133" s="90"/>
      <c r="K1133" s="90"/>
      <c r="L1133" s="90"/>
      <c r="M1133" s="90"/>
      <c r="N1133" s="79"/>
      <c r="O1133" s="67"/>
    </row>
    <row r="1134" spans="1:64" ht="12.75">
      <c r="A1134" s="81" t="s">
        <v>270</v>
      </c>
      <c r="B1134" s="81" t="s">
        <v>283</v>
      </c>
      <c r="C1134" s="81" t="s">
        <v>572</v>
      </c>
      <c r="D1134" s="139" t="s">
        <v>1304</v>
      </c>
      <c r="E1134" s="134"/>
      <c r="F1134" s="134"/>
      <c r="G1134" s="140"/>
      <c r="H1134" s="81" t="s">
        <v>1543</v>
      </c>
      <c r="I1134" s="87">
        <v>59.36568</v>
      </c>
      <c r="J1134" s="87">
        <v>0</v>
      </c>
      <c r="K1134" s="87">
        <f>I1134*AO1134</f>
        <v>0</v>
      </c>
      <c r="L1134" s="87">
        <f>I1134*AP1134</f>
        <v>0</v>
      </c>
      <c r="M1134" s="87">
        <f>I1134*J1134</f>
        <v>0</v>
      </c>
      <c r="N1134" s="77" t="s">
        <v>1556</v>
      </c>
      <c r="O1134" s="67"/>
      <c r="Z1134" s="28">
        <f>IF(AQ1134="5",BJ1134,0)</f>
        <v>0</v>
      </c>
      <c r="AB1134" s="28">
        <f>IF(AQ1134="1",BH1134,0)</f>
        <v>0</v>
      </c>
      <c r="AC1134" s="28">
        <f>IF(AQ1134="1",BI1134,0)</f>
        <v>0</v>
      </c>
      <c r="AD1134" s="28">
        <f>IF(AQ1134="7",BH1134,0)</f>
        <v>0</v>
      </c>
      <c r="AE1134" s="28">
        <f>IF(AQ1134="7",BI1134,0)</f>
        <v>0</v>
      </c>
      <c r="AF1134" s="28">
        <f>IF(AQ1134="2",BH1134,0)</f>
        <v>0</v>
      </c>
      <c r="AG1134" s="28">
        <f>IF(AQ1134="2",BI1134,0)</f>
        <v>0</v>
      </c>
      <c r="AH1134" s="28">
        <f>IF(AQ1134="0",BJ1134,0)</f>
        <v>0</v>
      </c>
      <c r="AI1134" s="27" t="s">
        <v>283</v>
      </c>
      <c r="AJ1134" s="18">
        <f>IF(AN1134=0,M1134,0)</f>
        <v>0</v>
      </c>
      <c r="AK1134" s="18">
        <f>IF(AN1134=15,M1134,0)</f>
        <v>0</v>
      </c>
      <c r="AL1134" s="18">
        <f>IF(AN1134=21,M1134,0)</f>
        <v>0</v>
      </c>
      <c r="AN1134" s="28">
        <v>15</v>
      </c>
      <c r="AO1134" s="28">
        <f>J1134*0</f>
        <v>0</v>
      </c>
      <c r="AP1134" s="28">
        <f>J1134*(1-0)</f>
        <v>0</v>
      </c>
      <c r="AQ1134" s="29" t="s">
        <v>11</v>
      </c>
      <c r="AV1134" s="28">
        <f>AW1134+AX1134</f>
        <v>0</v>
      </c>
      <c r="AW1134" s="28">
        <f>I1134*AO1134</f>
        <v>0</v>
      </c>
      <c r="AX1134" s="28">
        <f>I1134*AP1134</f>
        <v>0</v>
      </c>
      <c r="AY1134" s="31" t="s">
        <v>1610</v>
      </c>
      <c r="AZ1134" s="31" t="s">
        <v>1613</v>
      </c>
      <c r="BA1134" s="27" t="s">
        <v>1628</v>
      </c>
      <c r="BC1134" s="28">
        <f>AW1134+AX1134</f>
        <v>0</v>
      </c>
      <c r="BD1134" s="28">
        <f>J1134/(100-BE1134)*100</f>
        <v>0</v>
      </c>
      <c r="BE1134" s="28">
        <v>0</v>
      </c>
      <c r="BF1134" s="28">
        <f>1134</f>
        <v>1134</v>
      </c>
      <c r="BH1134" s="18">
        <f>I1134*AO1134</f>
        <v>0</v>
      </c>
      <c r="BI1134" s="18">
        <f>I1134*AP1134</f>
        <v>0</v>
      </c>
      <c r="BJ1134" s="18">
        <f>I1134*J1134</f>
        <v>0</v>
      </c>
      <c r="BK1134" s="18" t="s">
        <v>1634</v>
      </c>
      <c r="BL1134" s="28" t="s">
        <v>569</v>
      </c>
    </row>
    <row r="1135" spans="1:15" ht="12.75">
      <c r="A1135" s="89"/>
      <c r="B1135" s="90"/>
      <c r="C1135" s="90"/>
      <c r="D1135" s="84" t="s">
        <v>1305</v>
      </c>
      <c r="G1135" s="91"/>
      <c r="H1135" s="90"/>
      <c r="I1135" s="92">
        <v>59.36568</v>
      </c>
      <c r="J1135" s="90"/>
      <c r="K1135" s="90"/>
      <c r="L1135" s="90"/>
      <c r="M1135" s="90"/>
      <c r="N1135" s="79"/>
      <c r="O1135" s="67"/>
    </row>
    <row r="1136" spans="1:64" ht="12.75">
      <c r="A1136" s="81" t="s">
        <v>271</v>
      </c>
      <c r="B1136" s="81" t="s">
        <v>283</v>
      </c>
      <c r="C1136" s="81" t="s">
        <v>573</v>
      </c>
      <c r="D1136" s="139" t="s">
        <v>1306</v>
      </c>
      <c r="E1136" s="134"/>
      <c r="F1136" s="134"/>
      <c r="G1136" s="140"/>
      <c r="H1136" s="81" t="s">
        <v>1543</v>
      </c>
      <c r="I1136" s="87">
        <v>593.6568</v>
      </c>
      <c r="J1136" s="87">
        <v>0</v>
      </c>
      <c r="K1136" s="87">
        <f>I1136*AO1136</f>
        <v>0</v>
      </c>
      <c r="L1136" s="87">
        <f>I1136*AP1136</f>
        <v>0</v>
      </c>
      <c r="M1136" s="87">
        <f>I1136*J1136</f>
        <v>0</v>
      </c>
      <c r="N1136" s="77" t="s">
        <v>1556</v>
      </c>
      <c r="O1136" s="67"/>
      <c r="Z1136" s="28">
        <f>IF(AQ1136="5",BJ1136,0)</f>
        <v>0</v>
      </c>
      <c r="AB1136" s="28">
        <f>IF(AQ1136="1",BH1136,0)</f>
        <v>0</v>
      </c>
      <c r="AC1136" s="28">
        <f>IF(AQ1136="1",BI1136,0)</f>
        <v>0</v>
      </c>
      <c r="AD1136" s="28">
        <f>IF(AQ1136="7",BH1136,0)</f>
        <v>0</v>
      </c>
      <c r="AE1136" s="28">
        <f>IF(AQ1136="7",BI1136,0)</f>
        <v>0</v>
      </c>
      <c r="AF1136" s="28">
        <f>IF(AQ1136="2",BH1136,0)</f>
        <v>0</v>
      </c>
      <c r="AG1136" s="28">
        <f>IF(AQ1136="2",BI1136,0)</f>
        <v>0</v>
      </c>
      <c r="AH1136" s="28">
        <f>IF(AQ1136="0",BJ1136,0)</f>
        <v>0</v>
      </c>
      <c r="AI1136" s="27" t="s">
        <v>283</v>
      </c>
      <c r="AJ1136" s="18">
        <f>IF(AN1136=0,M1136,0)</f>
        <v>0</v>
      </c>
      <c r="AK1136" s="18">
        <f>IF(AN1136=15,M1136,0)</f>
        <v>0</v>
      </c>
      <c r="AL1136" s="18">
        <f>IF(AN1136=21,M1136,0)</f>
        <v>0</v>
      </c>
      <c r="AN1136" s="28">
        <v>15</v>
      </c>
      <c r="AO1136" s="28">
        <f>J1136*0</f>
        <v>0</v>
      </c>
      <c r="AP1136" s="28">
        <f>J1136*(1-0)</f>
        <v>0</v>
      </c>
      <c r="AQ1136" s="29" t="s">
        <v>11</v>
      </c>
      <c r="AV1136" s="28">
        <f>AW1136+AX1136</f>
        <v>0</v>
      </c>
      <c r="AW1136" s="28">
        <f>I1136*AO1136</f>
        <v>0</v>
      </c>
      <c r="AX1136" s="28">
        <f>I1136*AP1136</f>
        <v>0</v>
      </c>
      <c r="AY1136" s="31" t="s">
        <v>1610</v>
      </c>
      <c r="AZ1136" s="31" t="s">
        <v>1613</v>
      </c>
      <c r="BA1136" s="27" t="s">
        <v>1628</v>
      </c>
      <c r="BC1136" s="28">
        <f>AW1136+AX1136</f>
        <v>0</v>
      </c>
      <c r="BD1136" s="28">
        <f>J1136/(100-BE1136)*100</f>
        <v>0</v>
      </c>
      <c r="BE1136" s="28">
        <v>0</v>
      </c>
      <c r="BF1136" s="28">
        <f>1136</f>
        <v>1136</v>
      </c>
      <c r="BH1136" s="18">
        <f>I1136*AO1136</f>
        <v>0</v>
      </c>
      <c r="BI1136" s="18">
        <f>I1136*AP1136</f>
        <v>0</v>
      </c>
      <c r="BJ1136" s="18">
        <f>I1136*J1136</f>
        <v>0</v>
      </c>
      <c r="BK1136" s="18" t="s">
        <v>1634</v>
      </c>
      <c r="BL1136" s="28" t="s">
        <v>569</v>
      </c>
    </row>
    <row r="1137" spans="1:15" ht="12.75">
      <c r="A1137" s="89"/>
      <c r="B1137" s="90"/>
      <c r="C1137" s="90"/>
      <c r="D1137" s="84" t="s">
        <v>1307</v>
      </c>
      <c r="G1137" s="91"/>
      <c r="H1137" s="90"/>
      <c r="I1137" s="92">
        <v>593.6568</v>
      </c>
      <c r="J1137" s="90"/>
      <c r="K1137" s="90"/>
      <c r="L1137" s="90"/>
      <c r="M1137" s="90"/>
      <c r="N1137" s="79"/>
      <c r="O1137" s="67"/>
    </row>
    <row r="1138" spans="1:64" ht="12.75">
      <c r="A1138" s="81" t="s">
        <v>272</v>
      </c>
      <c r="B1138" s="81" t="s">
        <v>283</v>
      </c>
      <c r="C1138" s="81" t="s">
        <v>574</v>
      </c>
      <c r="D1138" s="139" t="s">
        <v>1308</v>
      </c>
      <c r="E1138" s="134"/>
      <c r="F1138" s="134"/>
      <c r="G1138" s="140"/>
      <c r="H1138" s="81" t="s">
        <v>1543</v>
      </c>
      <c r="I1138" s="87">
        <v>59.36568</v>
      </c>
      <c r="J1138" s="87">
        <v>0</v>
      </c>
      <c r="K1138" s="87">
        <f>I1138*AO1138</f>
        <v>0</v>
      </c>
      <c r="L1138" s="87">
        <f>I1138*AP1138</f>
        <v>0</v>
      </c>
      <c r="M1138" s="87">
        <f>I1138*J1138</f>
        <v>0</v>
      </c>
      <c r="N1138" s="77" t="s">
        <v>1556</v>
      </c>
      <c r="O1138" s="67"/>
      <c r="Z1138" s="28">
        <f>IF(AQ1138="5",BJ1138,0)</f>
        <v>0</v>
      </c>
      <c r="AB1138" s="28">
        <f>IF(AQ1138="1",BH1138,0)</f>
        <v>0</v>
      </c>
      <c r="AC1138" s="28">
        <f>IF(AQ1138="1",BI1138,0)</f>
        <v>0</v>
      </c>
      <c r="AD1138" s="28">
        <f>IF(AQ1138="7",BH1138,0)</f>
        <v>0</v>
      </c>
      <c r="AE1138" s="28">
        <f>IF(AQ1138="7",BI1138,0)</f>
        <v>0</v>
      </c>
      <c r="AF1138" s="28">
        <f>IF(AQ1138="2",BH1138,0)</f>
        <v>0</v>
      </c>
      <c r="AG1138" s="28">
        <f>IF(AQ1138="2",BI1138,0)</f>
        <v>0</v>
      </c>
      <c r="AH1138" s="28">
        <f>IF(AQ1138="0",BJ1138,0)</f>
        <v>0</v>
      </c>
      <c r="AI1138" s="27" t="s">
        <v>283</v>
      </c>
      <c r="AJ1138" s="18">
        <f>IF(AN1138=0,M1138,0)</f>
        <v>0</v>
      </c>
      <c r="AK1138" s="18">
        <f>IF(AN1138=15,M1138,0)</f>
        <v>0</v>
      </c>
      <c r="AL1138" s="18">
        <f>IF(AN1138=21,M1138,0)</f>
        <v>0</v>
      </c>
      <c r="AN1138" s="28">
        <v>15</v>
      </c>
      <c r="AO1138" s="28">
        <f>J1138*0</f>
        <v>0</v>
      </c>
      <c r="AP1138" s="28">
        <f>J1138*(1-0)</f>
        <v>0</v>
      </c>
      <c r="AQ1138" s="29" t="s">
        <v>11</v>
      </c>
      <c r="AV1138" s="28">
        <f>AW1138+AX1138</f>
        <v>0</v>
      </c>
      <c r="AW1138" s="28">
        <f>I1138*AO1138</f>
        <v>0</v>
      </c>
      <c r="AX1138" s="28">
        <f>I1138*AP1138</f>
        <v>0</v>
      </c>
      <c r="AY1138" s="31" t="s">
        <v>1610</v>
      </c>
      <c r="AZ1138" s="31" t="s">
        <v>1613</v>
      </c>
      <c r="BA1138" s="27" t="s">
        <v>1628</v>
      </c>
      <c r="BC1138" s="28">
        <f>AW1138+AX1138</f>
        <v>0</v>
      </c>
      <c r="BD1138" s="28">
        <f>J1138/(100-BE1138)*100</f>
        <v>0</v>
      </c>
      <c r="BE1138" s="28">
        <v>0</v>
      </c>
      <c r="BF1138" s="28">
        <f>1138</f>
        <v>1138</v>
      </c>
      <c r="BH1138" s="18">
        <f>I1138*AO1138</f>
        <v>0</v>
      </c>
      <c r="BI1138" s="18">
        <f>I1138*AP1138</f>
        <v>0</v>
      </c>
      <c r="BJ1138" s="18">
        <f>I1138*J1138</f>
        <v>0</v>
      </c>
      <c r="BK1138" s="18" t="s">
        <v>1634</v>
      </c>
      <c r="BL1138" s="28" t="s">
        <v>569</v>
      </c>
    </row>
    <row r="1139" spans="1:15" ht="12.75">
      <c r="A1139" s="89"/>
      <c r="B1139" s="90"/>
      <c r="C1139" s="90"/>
      <c r="D1139" s="84" t="s">
        <v>1305</v>
      </c>
      <c r="G1139" s="91"/>
      <c r="H1139" s="90"/>
      <c r="I1139" s="92">
        <v>59.36568</v>
      </c>
      <c r="J1139" s="90"/>
      <c r="K1139" s="90"/>
      <c r="L1139" s="90"/>
      <c r="M1139" s="90"/>
      <c r="N1139" s="79"/>
      <c r="O1139" s="67"/>
    </row>
    <row r="1140" spans="1:64" ht="12.75">
      <c r="A1140" s="81" t="s">
        <v>273</v>
      </c>
      <c r="B1140" s="81" t="s">
        <v>283</v>
      </c>
      <c r="C1140" s="81" t="s">
        <v>575</v>
      </c>
      <c r="D1140" s="139" t="s">
        <v>1309</v>
      </c>
      <c r="E1140" s="134"/>
      <c r="F1140" s="134"/>
      <c r="G1140" s="140"/>
      <c r="H1140" s="81" t="s">
        <v>1543</v>
      </c>
      <c r="I1140" s="87">
        <v>593.6568</v>
      </c>
      <c r="J1140" s="87">
        <v>0</v>
      </c>
      <c r="K1140" s="87">
        <f>I1140*AO1140</f>
        <v>0</v>
      </c>
      <c r="L1140" s="87">
        <f>I1140*AP1140</f>
        <v>0</v>
      </c>
      <c r="M1140" s="87">
        <f>I1140*J1140</f>
        <v>0</v>
      </c>
      <c r="N1140" s="77" t="s">
        <v>1556</v>
      </c>
      <c r="O1140" s="67"/>
      <c r="Z1140" s="28">
        <f>IF(AQ1140="5",BJ1140,0)</f>
        <v>0</v>
      </c>
      <c r="AB1140" s="28">
        <f>IF(AQ1140="1",BH1140,0)</f>
        <v>0</v>
      </c>
      <c r="AC1140" s="28">
        <f>IF(AQ1140="1",BI1140,0)</f>
        <v>0</v>
      </c>
      <c r="AD1140" s="28">
        <f>IF(AQ1140="7",BH1140,0)</f>
        <v>0</v>
      </c>
      <c r="AE1140" s="28">
        <f>IF(AQ1140="7",BI1140,0)</f>
        <v>0</v>
      </c>
      <c r="AF1140" s="28">
        <f>IF(AQ1140="2",BH1140,0)</f>
        <v>0</v>
      </c>
      <c r="AG1140" s="28">
        <f>IF(AQ1140="2",BI1140,0)</f>
        <v>0</v>
      </c>
      <c r="AH1140" s="28">
        <f>IF(AQ1140="0",BJ1140,0)</f>
        <v>0</v>
      </c>
      <c r="AI1140" s="27" t="s">
        <v>283</v>
      </c>
      <c r="AJ1140" s="18">
        <f>IF(AN1140=0,M1140,0)</f>
        <v>0</v>
      </c>
      <c r="AK1140" s="18">
        <f>IF(AN1140=15,M1140,0)</f>
        <v>0</v>
      </c>
      <c r="AL1140" s="18">
        <f>IF(AN1140=21,M1140,0)</f>
        <v>0</v>
      </c>
      <c r="AN1140" s="28">
        <v>15</v>
      </c>
      <c r="AO1140" s="28">
        <f>J1140*0</f>
        <v>0</v>
      </c>
      <c r="AP1140" s="28">
        <f>J1140*(1-0)</f>
        <v>0</v>
      </c>
      <c r="AQ1140" s="29" t="s">
        <v>11</v>
      </c>
      <c r="AV1140" s="28">
        <f>AW1140+AX1140</f>
        <v>0</v>
      </c>
      <c r="AW1140" s="28">
        <f>I1140*AO1140</f>
        <v>0</v>
      </c>
      <c r="AX1140" s="28">
        <f>I1140*AP1140</f>
        <v>0</v>
      </c>
      <c r="AY1140" s="31" t="s">
        <v>1610</v>
      </c>
      <c r="AZ1140" s="31" t="s">
        <v>1613</v>
      </c>
      <c r="BA1140" s="27" t="s">
        <v>1628</v>
      </c>
      <c r="BC1140" s="28">
        <f>AW1140+AX1140</f>
        <v>0</v>
      </c>
      <c r="BD1140" s="28">
        <f>J1140/(100-BE1140)*100</f>
        <v>0</v>
      </c>
      <c r="BE1140" s="28">
        <v>0</v>
      </c>
      <c r="BF1140" s="28">
        <f>1140</f>
        <v>1140</v>
      </c>
      <c r="BH1140" s="18">
        <f>I1140*AO1140</f>
        <v>0</v>
      </c>
      <c r="BI1140" s="18">
        <f>I1140*AP1140</f>
        <v>0</v>
      </c>
      <c r="BJ1140" s="18">
        <f>I1140*J1140</f>
        <v>0</v>
      </c>
      <c r="BK1140" s="18" t="s">
        <v>1634</v>
      </c>
      <c r="BL1140" s="28" t="s">
        <v>569</v>
      </c>
    </row>
    <row r="1141" spans="1:15" ht="12.75">
      <c r="A1141" s="89"/>
      <c r="B1141" s="90"/>
      <c r="C1141" s="90"/>
      <c r="D1141" s="84" t="s">
        <v>1307</v>
      </c>
      <c r="G1141" s="91"/>
      <c r="H1141" s="90"/>
      <c r="I1141" s="92">
        <v>593.6568</v>
      </c>
      <c r="J1141" s="90"/>
      <c r="K1141" s="90"/>
      <c r="L1141" s="90"/>
      <c r="M1141" s="90"/>
      <c r="N1141" s="79"/>
      <c r="O1141" s="67"/>
    </row>
    <row r="1142" spans="1:64" ht="12.75">
      <c r="A1142" s="81" t="s">
        <v>274</v>
      </c>
      <c r="B1142" s="81" t="s">
        <v>283</v>
      </c>
      <c r="C1142" s="81" t="s">
        <v>576</v>
      </c>
      <c r="D1142" s="139" t="s">
        <v>1310</v>
      </c>
      <c r="E1142" s="134"/>
      <c r="F1142" s="134"/>
      <c r="G1142" s="140"/>
      <c r="H1142" s="81" t="s">
        <v>1543</v>
      </c>
      <c r="I1142" s="87">
        <v>59.36568</v>
      </c>
      <c r="J1142" s="87">
        <v>0</v>
      </c>
      <c r="K1142" s="87">
        <f>I1142*AO1142</f>
        <v>0</v>
      </c>
      <c r="L1142" s="87">
        <f>I1142*AP1142</f>
        <v>0</v>
      </c>
      <c r="M1142" s="87">
        <f>I1142*J1142</f>
        <v>0</v>
      </c>
      <c r="N1142" s="77" t="s">
        <v>1556</v>
      </c>
      <c r="O1142" s="67"/>
      <c r="Z1142" s="28">
        <f>IF(AQ1142="5",BJ1142,0)</f>
        <v>0</v>
      </c>
      <c r="AB1142" s="28">
        <f>IF(AQ1142="1",BH1142,0)</f>
        <v>0</v>
      </c>
      <c r="AC1142" s="28">
        <f>IF(AQ1142="1",BI1142,0)</f>
        <v>0</v>
      </c>
      <c r="AD1142" s="28">
        <f>IF(AQ1142="7",BH1142,0)</f>
        <v>0</v>
      </c>
      <c r="AE1142" s="28">
        <f>IF(AQ1142="7",BI1142,0)</f>
        <v>0</v>
      </c>
      <c r="AF1142" s="28">
        <f>IF(AQ1142="2",BH1142,0)</f>
        <v>0</v>
      </c>
      <c r="AG1142" s="28">
        <f>IF(AQ1142="2",BI1142,0)</f>
        <v>0</v>
      </c>
      <c r="AH1142" s="28">
        <f>IF(AQ1142="0",BJ1142,0)</f>
        <v>0</v>
      </c>
      <c r="AI1142" s="27" t="s">
        <v>283</v>
      </c>
      <c r="AJ1142" s="18">
        <f>IF(AN1142=0,M1142,0)</f>
        <v>0</v>
      </c>
      <c r="AK1142" s="18">
        <f>IF(AN1142=15,M1142,0)</f>
        <v>0</v>
      </c>
      <c r="AL1142" s="18">
        <f>IF(AN1142=21,M1142,0)</f>
        <v>0</v>
      </c>
      <c r="AN1142" s="28">
        <v>15</v>
      </c>
      <c r="AO1142" s="28">
        <f>J1142*0</f>
        <v>0</v>
      </c>
      <c r="AP1142" s="28">
        <f>J1142*(1-0)</f>
        <v>0</v>
      </c>
      <c r="AQ1142" s="29" t="s">
        <v>11</v>
      </c>
      <c r="AV1142" s="28">
        <f>AW1142+AX1142</f>
        <v>0</v>
      </c>
      <c r="AW1142" s="28">
        <f>I1142*AO1142</f>
        <v>0</v>
      </c>
      <c r="AX1142" s="28">
        <f>I1142*AP1142</f>
        <v>0</v>
      </c>
      <c r="AY1142" s="31" t="s">
        <v>1610</v>
      </c>
      <c r="AZ1142" s="31" t="s">
        <v>1613</v>
      </c>
      <c r="BA1142" s="27" t="s">
        <v>1628</v>
      </c>
      <c r="BC1142" s="28">
        <f>AW1142+AX1142</f>
        <v>0</v>
      </c>
      <c r="BD1142" s="28">
        <f>J1142/(100-BE1142)*100</f>
        <v>0</v>
      </c>
      <c r="BE1142" s="28">
        <v>0</v>
      </c>
      <c r="BF1142" s="28">
        <f>1142</f>
        <v>1142</v>
      </c>
      <c r="BH1142" s="18">
        <f>I1142*AO1142</f>
        <v>0</v>
      </c>
      <c r="BI1142" s="18">
        <f>I1142*AP1142</f>
        <v>0</v>
      </c>
      <c r="BJ1142" s="18">
        <f>I1142*J1142</f>
        <v>0</v>
      </c>
      <c r="BK1142" s="18" t="s">
        <v>1634</v>
      </c>
      <c r="BL1142" s="28" t="s">
        <v>569</v>
      </c>
    </row>
    <row r="1143" spans="1:15" ht="12.75">
      <c r="A1143" s="89"/>
      <c r="B1143" s="90"/>
      <c r="C1143" s="90"/>
      <c r="D1143" s="84" t="s">
        <v>1305</v>
      </c>
      <c r="G1143" s="91"/>
      <c r="H1143" s="90"/>
      <c r="I1143" s="92">
        <v>59.36568</v>
      </c>
      <c r="J1143" s="90"/>
      <c r="K1143" s="90"/>
      <c r="L1143" s="90"/>
      <c r="M1143" s="90"/>
      <c r="N1143" s="79"/>
      <c r="O1143" s="67"/>
    </row>
    <row r="1144" spans="1:64" ht="12.75">
      <c r="A1144" s="81" t="s">
        <v>275</v>
      </c>
      <c r="B1144" s="81" t="s">
        <v>283</v>
      </c>
      <c r="C1144" s="81" t="s">
        <v>577</v>
      </c>
      <c r="D1144" s="139" t="s">
        <v>1311</v>
      </c>
      <c r="E1144" s="134"/>
      <c r="F1144" s="134"/>
      <c r="G1144" s="140"/>
      <c r="H1144" s="81" t="s">
        <v>1543</v>
      </c>
      <c r="I1144" s="87">
        <v>68.67078</v>
      </c>
      <c r="J1144" s="87">
        <v>0</v>
      </c>
      <c r="K1144" s="87">
        <f>I1144*AO1144</f>
        <v>0</v>
      </c>
      <c r="L1144" s="87">
        <f>I1144*AP1144</f>
        <v>0</v>
      </c>
      <c r="M1144" s="87">
        <f>I1144*J1144</f>
        <v>0</v>
      </c>
      <c r="N1144" s="77" t="s">
        <v>1556</v>
      </c>
      <c r="O1144" s="67"/>
      <c r="Z1144" s="28">
        <f>IF(AQ1144="5",BJ1144,0)</f>
        <v>0</v>
      </c>
      <c r="AB1144" s="28">
        <f>IF(AQ1144="1",BH1144,0)</f>
        <v>0</v>
      </c>
      <c r="AC1144" s="28">
        <f>IF(AQ1144="1",BI1144,0)</f>
        <v>0</v>
      </c>
      <c r="AD1144" s="28">
        <f>IF(AQ1144="7",BH1144,0)</f>
        <v>0</v>
      </c>
      <c r="AE1144" s="28">
        <f>IF(AQ1144="7",BI1144,0)</f>
        <v>0</v>
      </c>
      <c r="AF1144" s="28">
        <f>IF(AQ1144="2",BH1144,0)</f>
        <v>0</v>
      </c>
      <c r="AG1144" s="28">
        <f>IF(AQ1144="2",BI1144,0)</f>
        <v>0</v>
      </c>
      <c r="AH1144" s="28">
        <f>IF(AQ1144="0",BJ1144,0)</f>
        <v>0</v>
      </c>
      <c r="AI1144" s="27" t="s">
        <v>283</v>
      </c>
      <c r="AJ1144" s="18">
        <f>IF(AN1144=0,M1144,0)</f>
        <v>0</v>
      </c>
      <c r="AK1144" s="18">
        <f>IF(AN1144=15,M1144,0)</f>
        <v>0</v>
      </c>
      <c r="AL1144" s="18">
        <f>IF(AN1144=21,M1144,0)</f>
        <v>0</v>
      </c>
      <c r="AN1144" s="28">
        <v>15</v>
      </c>
      <c r="AO1144" s="28">
        <f>J1144*0</f>
        <v>0</v>
      </c>
      <c r="AP1144" s="28">
        <f>J1144*(1-0)</f>
        <v>0</v>
      </c>
      <c r="AQ1144" s="29" t="s">
        <v>11</v>
      </c>
      <c r="AV1144" s="28">
        <f>AW1144+AX1144</f>
        <v>0</v>
      </c>
      <c r="AW1144" s="28">
        <f>I1144*AO1144</f>
        <v>0</v>
      </c>
      <c r="AX1144" s="28">
        <f>I1144*AP1144</f>
        <v>0</v>
      </c>
      <c r="AY1144" s="31" t="s">
        <v>1610</v>
      </c>
      <c r="AZ1144" s="31" t="s">
        <v>1613</v>
      </c>
      <c r="BA1144" s="27" t="s">
        <v>1628</v>
      </c>
      <c r="BC1144" s="28">
        <f>AW1144+AX1144</f>
        <v>0</v>
      </c>
      <c r="BD1144" s="28">
        <f>J1144/(100-BE1144)*100</f>
        <v>0</v>
      </c>
      <c r="BE1144" s="28">
        <v>0</v>
      </c>
      <c r="BF1144" s="28">
        <f>1144</f>
        <v>1144</v>
      </c>
      <c r="BH1144" s="18">
        <f>I1144*AO1144</f>
        <v>0</v>
      </c>
      <c r="BI1144" s="18">
        <f>I1144*AP1144</f>
        <v>0</v>
      </c>
      <c r="BJ1144" s="18">
        <f>I1144*J1144</f>
        <v>0</v>
      </c>
      <c r="BK1144" s="18" t="s">
        <v>1634</v>
      </c>
      <c r="BL1144" s="28" t="s">
        <v>569</v>
      </c>
    </row>
    <row r="1145" spans="1:47" ht="12.75">
      <c r="A1145" s="72"/>
      <c r="B1145" s="73" t="s">
        <v>283</v>
      </c>
      <c r="C1145" s="73"/>
      <c r="D1145" s="130" t="s">
        <v>1312</v>
      </c>
      <c r="E1145" s="131"/>
      <c r="F1145" s="131"/>
      <c r="G1145" s="132"/>
      <c r="H1145" s="72" t="s">
        <v>6</v>
      </c>
      <c r="I1145" s="72" t="s">
        <v>6</v>
      </c>
      <c r="J1145" s="72" t="s">
        <v>6</v>
      </c>
      <c r="K1145" s="76">
        <f>SUM(K1146:K1146)</f>
        <v>0</v>
      </c>
      <c r="L1145" s="76">
        <f>SUM(L1146:L1146)</f>
        <v>0</v>
      </c>
      <c r="M1145" s="76">
        <f>SUM(M1146:M1146)</f>
        <v>0</v>
      </c>
      <c r="N1145" s="71"/>
      <c r="O1145" s="67"/>
      <c r="AI1145" s="27" t="s">
        <v>283</v>
      </c>
      <c r="AS1145" s="33">
        <f>SUM(AJ1146:AJ1146)</f>
        <v>0</v>
      </c>
      <c r="AT1145" s="33">
        <f>SUM(AK1146:AK1146)</f>
        <v>0</v>
      </c>
      <c r="AU1145" s="33">
        <f>SUM(AL1146:AL1146)</f>
        <v>0</v>
      </c>
    </row>
    <row r="1146" spans="1:64" ht="12.75">
      <c r="A1146" s="94" t="s">
        <v>276</v>
      </c>
      <c r="B1146" s="94" t="s">
        <v>283</v>
      </c>
      <c r="C1146" s="94" t="s">
        <v>578</v>
      </c>
      <c r="D1146" s="148" t="s">
        <v>1313</v>
      </c>
      <c r="E1146" s="149"/>
      <c r="F1146" s="149"/>
      <c r="G1146" s="150"/>
      <c r="H1146" s="94" t="s">
        <v>1538</v>
      </c>
      <c r="I1146" s="95">
        <v>4</v>
      </c>
      <c r="J1146" s="95">
        <v>0</v>
      </c>
      <c r="K1146" s="95">
        <f>I1146*AO1146</f>
        <v>0</v>
      </c>
      <c r="L1146" s="95">
        <f>I1146*AP1146</f>
        <v>0</v>
      </c>
      <c r="M1146" s="95">
        <f>I1146*J1146</f>
        <v>0</v>
      </c>
      <c r="N1146" s="93" t="s">
        <v>1555</v>
      </c>
      <c r="O1146" s="67"/>
      <c r="Z1146" s="28">
        <f>IF(AQ1146="5",BJ1146,0)</f>
        <v>0</v>
      </c>
      <c r="AB1146" s="28">
        <f>IF(AQ1146="1",BH1146,0)</f>
        <v>0</v>
      </c>
      <c r="AC1146" s="28">
        <f>IF(AQ1146="1",BI1146,0)</f>
        <v>0</v>
      </c>
      <c r="AD1146" s="28">
        <f>IF(AQ1146="7",BH1146,0)</f>
        <v>0</v>
      </c>
      <c r="AE1146" s="28">
        <f>IF(AQ1146="7",BI1146,0)</f>
        <v>0</v>
      </c>
      <c r="AF1146" s="28">
        <f>IF(AQ1146="2",BH1146,0)</f>
        <v>0</v>
      </c>
      <c r="AG1146" s="28">
        <f>IF(AQ1146="2",BI1146,0)</f>
        <v>0</v>
      </c>
      <c r="AH1146" s="28">
        <f>IF(AQ1146="0",BJ1146,0)</f>
        <v>0</v>
      </c>
      <c r="AI1146" s="27" t="s">
        <v>283</v>
      </c>
      <c r="AJ1146" s="20">
        <f>IF(AN1146=0,M1146,0)</f>
        <v>0</v>
      </c>
      <c r="AK1146" s="20">
        <f>IF(AN1146=15,M1146,0)</f>
        <v>0</v>
      </c>
      <c r="AL1146" s="20">
        <f>IF(AN1146=21,M1146,0)</f>
        <v>0</v>
      </c>
      <c r="AN1146" s="28">
        <v>15</v>
      </c>
      <c r="AO1146" s="28">
        <f>J1146*1</f>
        <v>0</v>
      </c>
      <c r="AP1146" s="28">
        <f>J1146*(1-1)</f>
        <v>0</v>
      </c>
      <c r="AQ1146" s="30" t="s">
        <v>1567</v>
      </c>
      <c r="AV1146" s="28">
        <f>AW1146+AX1146</f>
        <v>0</v>
      </c>
      <c r="AW1146" s="28">
        <f>I1146*AO1146</f>
        <v>0</v>
      </c>
      <c r="AX1146" s="28">
        <f>I1146*AP1146</f>
        <v>0</v>
      </c>
      <c r="AY1146" s="31" t="s">
        <v>1611</v>
      </c>
      <c r="AZ1146" s="31" t="s">
        <v>1625</v>
      </c>
      <c r="BA1146" s="27" t="s">
        <v>1628</v>
      </c>
      <c r="BC1146" s="28">
        <f>AW1146+AX1146</f>
        <v>0</v>
      </c>
      <c r="BD1146" s="28">
        <f>J1146/(100-BE1146)*100</f>
        <v>0</v>
      </c>
      <c r="BE1146" s="28">
        <v>0</v>
      </c>
      <c r="BF1146" s="28">
        <f>1146</f>
        <v>1146</v>
      </c>
      <c r="BH1146" s="20">
        <f>I1146*AO1146</f>
        <v>0</v>
      </c>
      <c r="BI1146" s="20">
        <f>I1146*AP1146</f>
        <v>0</v>
      </c>
      <c r="BJ1146" s="20">
        <f>I1146*J1146</f>
        <v>0</v>
      </c>
      <c r="BK1146" s="20" t="s">
        <v>1635</v>
      </c>
      <c r="BL1146" s="28"/>
    </row>
    <row r="1147" spans="1:15" ht="12.75">
      <c r="A1147" s="82"/>
      <c r="B1147" s="83"/>
      <c r="C1147" s="83"/>
      <c r="D1147" s="85" t="s">
        <v>1314</v>
      </c>
      <c r="G1147" s="86" t="s">
        <v>1530</v>
      </c>
      <c r="H1147" s="83"/>
      <c r="I1147" s="88">
        <v>4</v>
      </c>
      <c r="J1147" s="83"/>
      <c r="K1147" s="83"/>
      <c r="L1147" s="83"/>
      <c r="M1147" s="83"/>
      <c r="N1147" s="80"/>
      <c r="O1147" s="67"/>
    </row>
    <row r="1148" spans="1:15" ht="12.75">
      <c r="A1148" s="3"/>
      <c r="C1148" s="13" t="s">
        <v>302</v>
      </c>
      <c r="D1148" s="145" t="s">
        <v>1315</v>
      </c>
      <c r="E1148" s="146"/>
      <c r="F1148" s="146"/>
      <c r="G1148" s="146"/>
      <c r="H1148" s="146"/>
      <c r="I1148" s="146"/>
      <c r="J1148" s="146"/>
      <c r="K1148" s="146"/>
      <c r="L1148" s="146"/>
      <c r="M1148" s="146"/>
      <c r="N1148" s="147"/>
      <c r="O1148" s="3"/>
    </row>
    <row r="1149" spans="1:15" ht="12.75">
      <c r="A1149" s="3"/>
      <c r="C1149" s="12" t="s">
        <v>296</v>
      </c>
      <c r="D1149" s="142" t="s">
        <v>869</v>
      </c>
      <c r="E1149" s="143"/>
      <c r="F1149" s="143"/>
      <c r="G1149" s="143"/>
      <c r="H1149" s="143"/>
      <c r="I1149" s="143"/>
      <c r="J1149" s="143"/>
      <c r="K1149" s="143"/>
      <c r="L1149" s="143"/>
      <c r="M1149" s="143"/>
      <c r="N1149" s="144"/>
      <c r="O1149" s="3"/>
    </row>
    <row r="1150" spans="1:15" ht="12.75">
      <c r="A1150" s="97"/>
      <c r="B1150" s="98" t="s">
        <v>284</v>
      </c>
      <c r="C1150" s="98"/>
      <c r="D1150" s="152" t="s">
        <v>1316</v>
      </c>
      <c r="E1150" s="153"/>
      <c r="F1150" s="153"/>
      <c r="G1150" s="154"/>
      <c r="H1150" s="97" t="s">
        <v>6</v>
      </c>
      <c r="I1150" s="97" t="s">
        <v>6</v>
      </c>
      <c r="J1150" s="97" t="s">
        <v>6</v>
      </c>
      <c r="K1150" s="99">
        <f>K1151+K1156</f>
        <v>0</v>
      </c>
      <c r="L1150" s="99">
        <f>L1151+L1156</f>
        <v>0</v>
      </c>
      <c r="M1150" s="99">
        <f>M1151+M1156</f>
        <v>0</v>
      </c>
      <c r="N1150" s="96"/>
      <c r="O1150" s="67"/>
    </row>
    <row r="1151" spans="1:47" ht="12.75">
      <c r="A1151" s="72"/>
      <c r="B1151" s="73" t="s">
        <v>284</v>
      </c>
      <c r="C1151" s="73" t="s">
        <v>288</v>
      </c>
      <c r="D1151" s="130" t="s">
        <v>592</v>
      </c>
      <c r="E1151" s="131"/>
      <c r="F1151" s="131"/>
      <c r="G1151" s="132"/>
      <c r="H1151" s="72" t="s">
        <v>6</v>
      </c>
      <c r="I1151" s="72" t="s">
        <v>6</v>
      </c>
      <c r="J1151" s="72" t="s">
        <v>6</v>
      </c>
      <c r="K1151" s="76">
        <f>SUM(K1152:K1154)</f>
        <v>0</v>
      </c>
      <c r="L1151" s="76">
        <f>SUM(L1152:L1154)</f>
        <v>0</v>
      </c>
      <c r="M1151" s="76">
        <f>SUM(M1152:M1154)</f>
        <v>0</v>
      </c>
      <c r="N1151" s="71"/>
      <c r="O1151" s="67"/>
      <c r="AI1151" s="27" t="s">
        <v>284</v>
      </c>
      <c r="AS1151" s="33">
        <f>SUM(AJ1152:AJ1154)</f>
        <v>0</v>
      </c>
      <c r="AT1151" s="33">
        <f>SUM(AK1152:AK1154)</f>
        <v>0</v>
      </c>
      <c r="AU1151" s="33">
        <f>SUM(AL1152:AL1154)</f>
        <v>0</v>
      </c>
    </row>
    <row r="1152" spans="1:64" ht="12.75">
      <c r="A1152" s="81" t="s">
        <v>277</v>
      </c>
      <c r="B1152" s="81" t="s">
        <v>284</v>
      </c>
      <c r="C1152" s="81" t="s">
        <v>294</v>
      </c>
      <c r="D1152" s="139" t="s">
        <v>1317</v>
      </c>
      <c r="E1152" s="134"/>
      <c r="F1152" s="134"/>
      <c r="G1152" s="140"/>
      <c r="H1152" s="81" t="s">
        <v>1534</v>
      </c>
      <c r="I1152" s="87">
        <v>1</v>
      </c>
      <c r="J1152" s="87">
        <v>0</v>
      </c>
      <c r="K1152" s="87">
        <f>I1152*AO1152</f>
        <v>0</v>
      </c>
      <c r="L1152" s="87">
        <f>I1152*AP1152</f>
        <v>0</v>
      </c>
      <c r="M1152" s="87">
        <f>I1152*J1152</f>
        <v>0</v>
      </c>
      <c r="N1152" s="77" t="s">
        <v>1555</v>
      </c>
      <c r="O1152" s="67"/>
      <c r="Z1152" s="28">
        <f>IF(AQ1152="5",BJ1152,0)</f>
        <v>0</v>
      </c>
      <c r="AB1152" s="28">
        <f>IF(AQ1152="1",BH1152,0)</f>
        <v>0</v>
      </c>
      <c r="AC1152" s="28">
        <f>IF(AQ1152="1",BI1152,0)</f>
        <v>0</v>
      </c>
      <c r="AD1152" s="28">
        <f>IF(AQ1152="7",BH1152,0)</f>
        <v>0</v>
      </c>
      <c r="AE1152" s="28">
        <f>IF(AQ1152="7",BI1152,0)</f>
        <v>0</v>
      </c>
      <c r="AF1152" s="28">
        <f>IF(AQ1152="2",BH1152,0)</f>
        <v>0</v>
      </c>
      <c r="AG1152" s="28">
        <f>IF(AQ1152="2",BI1152,0)</f>
        <v>0</v>
      </c>
      <c r="AH1152" s="28">
        <f>IF(AQ1152="0",BJ1152,0)</f>
        <v>0</v>
      </c>
      <c r="AI1152" s="27" t="s">
        <v>284</v>
      </c>
      <c r="AJ1152" s="18">
        <f>IF(AN1152=0,M1152,0)</f>
        <v>0</v>
      </c>
      <c r="AK1152" s="18">
        <f>IF(AN1152=15,M1152,0)</f>
        <v>0</v>
      </c>
      <c r="AL1152" s="18">
        <f>IF(AN1152=21,M1152,0)</f>
        <v>0</v>
      </c>
      <c r="AN1152" s="28">
        <v>15</v>
      </c>
      <c r="AO1152" s="28">
        <f>J1152*0</f>
        <v>0</v>
      </c>
      <c r="AP1152" s="28">
        <f>J1152*(1-0)</f>
        <v>0</v>
      </c>
      <c r="AQ1152" s="29" t="s">
        <v>8</v>
      </c>
      <c r="AV1152" s="28">
        <f>AW1152+AX1152</f>
        <v>0</v>
      </c>
      <c r="AW1152" s="28">
        <f>I1152*AO1152</f>
        <v>0</v>
      </c>
      <c r="AX1152" s="28">
        <f>I1152*AP1152</f>
        <v>0</v>
      </c>
      <c r="AY1152" s="31" t="s">
        <v>1569</v>
      </c>
      <c r="AZ1152" s="31" t="s">
        <v>1626</v>
      </c>
      <c r="BA1152" s="27" t="s">
        <v>1629</v>
      </c>
      <c r="BC1152" s="28">
        <f>AW1152+AX1152</f>
        <v>0</v>
      </c>
      <c r="BD1152" s="28">
        <f>J1152/(100-BE1152)*100</f>
        <v>0</v>
      </c>
      <c r="BE1152" s="28">
        <v>0</v>
      </c>
      <c r="BF1152" s="28">
        <f>1152</f>
        <v>1152</v>
      </c>
      <c r="BH1152" s="18">
        <f>I1152*AO1152</f>
        <v>0</v>
      </c>
      <c r="BI1152" s="18">
        <f>I1152*AP1152</f>
        <v>0</v>
      </c>
      <c r="BJ1152" s="18">
        <f>I1152*J1152</f>
        <v>0</v>
      </c>
      <c r="BK1152" s="18" t="s">
        <v>1634</v>
      </c>
      <c r="BL1152" s="28" t="s">
        <v>288</v>
      </c>
    </row>
    <row r="1153" spans="1:15" ht="12.75">
      <c r="A1153" s="89"/>
      <c r="B1153" s="90"/>
      <c r="C1153" s="90"/>
      <c r="D1153" s="84" t="s">
        <v>7</v>
      </c>
      <c r="G1153" s="91"/>
      <c r="H1153" s="90"/>
      <c r="I1153" s="92">
        <v>1</v>
      </c>
      <c r="J1153" s="90"/>
      <c r="K1153" s="90"/>
      <c r="L1153" s="90"/>
      <c r="M1153" s="90"/>
      <c r="N1153" s="79"/>
      <c r="O1153" s="67"/>
    </row>
    <row r="1154" spans="1:64" ht="12.75">
      <c r="A1154" s="81" t="s">
        <v>278</v>
      </c>
      <c r="B1154" s="81" t="s">
        <v>284</v>
      </c>
      <c r="C1154" s="81" t="s">
        <v>579</v>
      </c>
      <c r="D1154" s="139" t="s">
        <v>1318</v>
      </c>
      <c r="E1154" s="134"/>
      <c r="F1154" s="134"/>
      <c r="G1154" s="140"/>
      <c r="H1154" s="81" t="s">
        <v>1534</v>
      </c>
      <c r="I1154" s="87">
        <v>1</v>
      </c>
      <c r="J1154" s="87">
        <v>0</v>
      </c>
      <c r="K1154" s="87">
        <f>I1154*AO1154</f>
        <v>0</v>
      </c>
      <c r="L1154" s="87">
        <f>I1154*AP1154</f>
        <v>0</v>
      </c>
      <c r="M1154" s="87">
        <f>I1154*J1154</f>
        <v>0</v>
      </c>
      <c r="N1154" s="77" t="s">
        <v>1555</v>
      </c>
      <c r="O1154" s="67"/>
      <c r="Z1154" s="28">
        <f>IF(AQ1154="5",BJ1154,0)</f>
        <v>0</v>
      </c>
      <c r="AB1154" s="28">
        <f>IF(AQ1154="1",BH1154,0)</f>
        <v>0</v>
      </c>
      <c r="AC1154" s="28">
        <f>IF(AQ1154="1",BI1154,0)</f>
        <v>0</v>
      </c>
      <c r="AD1154" s="28">
        <f>IF(AQ1154="7",BH1154,0)</f>
        <v>0</v>
      </c>
      <c r="AE1154" s="28">
        <f>IF(AQ1154="7",BI1154,0)</f>
        <v>0</v>
      </c>
      <c r="AF1154" s="28">
        <f>IF(AQ1154="2",BH1154,0)</f>
        <v>0</v>
      </c>
      <c r="AG1154" s="28">
        <f>IF(AQ1154="2",BI1154,0)</f>
        <v>0</v>
      </c>
      <c r="AH1154" s="28">
        <f>IF(AQ1154="0",BJ1154,0)</f>
        <v>0</v>
      </c>
      <c r="AI1154" s="27" t="s">
        <v>284</v>
      </c>
      <c r="AJ1154" s="18">
        <f>IF(AN1154=0,M1154,0)</f>
        <v>0</v>
      </c>
      <c r="AK1154" s="18">
        <f>IF(AN1154=15,M1154,0)</f>
        <v>0</v>
      </c>
      <c r="AL1154" s="18">
        <f>IF(AN1154=21,M1154,0)</f>
        <v>0</v>
      </c>
      <c r="AN1154" s="28">
        <v>15</v>
      </c>
      <c r="AO1154" s="28">
        <f>J1154*0</f>
        <v>0</v>
      </c>
      <c r="AP1154" s="28">
        <f>J1154*(1-0)</f>
        <v>0</v>
      </c>
      <c r="AQ1154" s="29" t="s">
        <v>8</v>
      </c>
      <c r="AV1154" s="28">
        <f>AW1154+AX1154</f>
        <v>0</v>
      </c>
      <c r="AW1154" s="28">
        <f>I1154*AO1154</f>
        <v>0</v>
      </c>
      <c r="AX1154" s="28">
        <f>I1154*AP1154</f>
        <v>0</v>
      </c>
      <c r="AY1154" s="31" t="s">
        <v>1569</v>
      </c>
      <c r="AZ1154" s="31" t="s">
        <v>1626</v>
      </c>
      <c r="BA1154" s="27" t="s">
        <v>1629</v>
      </c>
      <c r="BC1154" s="28">
        <f>AW1154+AX1154</f>
        <v>0</v>
      </c>
      <c r="BD1154" s="28">
        <f>J1154/(100-BE1154)*100</f>
        <v>0</v>
      </c>
      <c r="BE1154" s="28">
        <v>0</v>
      </c>
      <c r="BF1154" s="28">
        <f>1154</f>
        <v>1154</v>
      </c>
      <c r="BH1154" s="18">
        <f>I1154*AO1154</f>
        <v>0</v>
      </c>
      <c r="BI1154" s="18">
        <f>I1154*AP1154</f>
        <v>0</v>
      </c>
      <c r="BJ1154" s="18">
        <f>I1154*J1154</f>
        <v>0</v>
      </c>
      <c r="BK1154" s="18" t="s">
        <v>1634</v>
      </c>
      <c r="BL1154" s="28" t="s">
        <v>288</v>
      </c>
    </row>
    <row r="1155" spans="1:15" ht="12.75">
      <c r="A1155" s="89"/>
      <c r="B1155" s="90"/>
      <c r="C1155" s="90"/>
      <c r="D1155" s="84" t="s">
        <v>7</v>
      </c>
      <c r="G1155" s="91"/>
      <c r="H1155" s="90"/>
      <c r="I1155" s="92">
        <v>1</v>
      </c>
      <c r="J1155" s="90"/>
      <c r="K1155" s="90"/>
      <c r="L1155" s="90"/>
      <c r="M1155" s="90"/>
      <c r="N1155" s="79"/>
      <c r="O1155" s="67"/>
    </row>
    <row r="1156" spans="1:47" ht="12.75">
      <c r="A1156" s="72"/>
      <c r="B1156" s="73" t="s">
        <v>284</v>
      </c>
      <c r="C1156" s="73" t="s">
        <v>580</v>
      </c>
      <c r="D1156" s="130" t="s">
        <v>1319</v>
      </c>
      <c r="E1156" s="131"/>
      <c r="F1156" s="131"/>
      <c r="G1156" s="132"/>
      <c r="H1156" s="72" t="s">
        <v>6</v>
      </c>
      <c r="I1156" s="72" t="s">
        <v>6</v>
      </c>
      <c r="J1156" s="72" t="s">
        <v>6</v>
      </c>
      <c r="K1156" s="76">
        <f>SUM(K1157:K1160)</f>
        <v>0</v>
      </c>
      <c r="L1156" s="76">
        <f>SUM(L1157:L1160)</f>
        <v>0</v>
      </c>
      <c r="M1156" s="76">
        <f>SUM(M1157:M1160)</f>
        <v>0</v>
      </c>
      <c r="N1156" s="71"/>
      <c r="O1156" s="67"/>
      <c r="AI1156" s="27" t="s">
        <v>284</v>
      </c>
      <c r="AS1156" s="33">
        <f>SUM(AJ1157:AJ1160)</f>
        <v>0</v>
      </c>
      <c r="AT1156" s="33">
        <f>SUM(AK1157:AK1160)</f>
        <v>0</v>
      </c>
      <c r="AU1156" s="33">
        <f>SUM(AL1157:AL1160)</f>
        <v>0</v>
      </c>
    </row>
    <row r="1157" spans="1:64" ht="12.75">
      <c r="A1157" s="81" t="s">
        <v>279</v>
      </c>
      <c r="B1157" s="81" t="s">
        <v>284</v>
      </c>
      <c r="C1157" s="81" t="s">
        <v>581</v>
      </c>
      <c r="D1157" s="139" t="s">
        <v>1320</v>
      </c>
      <c r="E1157" s="134"/>
      <c r="F1157" s="134"/>
      <c r="G1157" s="140"/>
      <c r="H1157" s="81" t="s">
        <v>1538</v>
      </c>
      <c r="I1157" s="87">
        <v>1</v>
      </c>
      <c r="J1157" s="87">
        <v>0</v>
      </c>
      <c r="K1157" s="87">
        <f>I1157*AO1157</f>
        <v>0</v>
      </c>
      <c r="L1157" s="87">
        <f>I1157*AP1157</f>
        <v>0</v>
      </c>
      <c r="M1157" s="87">
        <f>I1157*J1157</f>
        <v>0</v>
      </c>
      <c r="N1157" s="77" t="s">
        <v>1555</v>
      </c>
      <c r="O1157" s="67"/>
      <c r="Z1157" s="28">
        <f>IF(AQ1157="5",BJ1157,0)</f>
        <v>0</v>
      </c>
      <c r="AB1157" s="28">
        <f>IF(AQ1157="1",BH1157,0)</f>
        <v>0</v>
      </c>
      <c r="AC1157" s="28">
        <f>IF(AQ1157="1",BI1157,0)</f>
        <v>0</v>
      </c>
      <c r="AD1157" s="28">
        <f>IF(AQ1157="7",BH1157,0)</f>
        <v>0</v>
      </c>
      <c r="AE1157" s="28">
        <f>IF(AQ1157="7",BI1157,0)</f>
        <v>0</v>
      </c>
      <c r="AF1157" s="28">
        <f>IF(AQ1157="2",BH1157,0)</f>
        <v>0</v>
      </c>
      <c r="AG1157" s="28">
        <f>IF(AQ1157="2",BI1157,0)</f>
        <v>0</v>
      </c>
      <c r="AH1157" s="28">
        <f>IF(AQ1157="0",BJ1157,0)</f>
        <v>0</v>
      </c>
      <c r="AI1157" s="27" t="s">
        <v>284</v>
      </c>
      <c r="AJ1157" s="18">
        <f>IF(AN1157=0,M1157,0)</f>
        <v>0</v>
      </c>
      <c r="AK1157" s="18">
        <f>IF(AN1157=15,M1157,0)</f>
        <v>0</v>
      </c>
      <c r="AL1157" s="18">
        <f>IF(AN1157=21,M1157,0)</f>
        <v>0</v>
      </c>
      <c r="AN1157" s="28">
        <v>15</v>
      </c>
      <c r="AO1157" s="28">
        <f>J1157*0</f>
        <v>0</v>
      </c>
      <c r="AP1157" s="28">
        <f>J1157*(1-0)</f>
        <v>0</v>
      </c>
      <c r="AQ1157" s="29" t="s">
        <v>13</v>
      </c>
      <c r="AV1157" s="28">
        <f>AW1157+AX1157</f>
        <v>0</v>
      </c>
      <c r="AW1157" s="28">
        <f>I1157*AO1157</f>
        <v>0</v>
      </c>
      <c r="AX1157" s="28">
        <f>I1157*AP1157</f>
        <v>0</v>
      </c>
      <c r="AY1157" s="31" t="s">
        <v>1612</v>
      </c>
      <c r="AZ1157" s="31" t="s">
        <v>1627</v>
      </c>
      <c r="BA1157" s="27" t="s">
        <v>1629</v>
      </c>
      <c r="BC1157" s="28">
        <f>AW1157+AX1157</f>
        <v>0</v>
      </c>
      <c r="BD1157" s="28">
        <f>J1157/(100-BE1157)*100</f>
        <v>0</v>
      </c>
      <c r="BE1157" s="28">
        <v>0</v>
      </c>
      <c r="BF1157" s="28">
        <f>1157</f>
        <v>1157</v>
      </c>
      <c r="BH1157" s="18">
        <f>I1157*AO1157</f>
        <v>0</v>
      </c>
      <c r="BI1157" s="18">
        <f>I1157*AP1157</f>
        <v>0</v>
      </c>
      <c r="BJ1157" s="18">
        <f>I1157*J1157</f>
        <v>0</v>
      </c>
      <c r="BK1157" s="18" t="s">
        <v>1634</v>
      </c>
      <c r="BL1157" s="28">
        <v>735</v>
      </c>
    </row>
    <row r="1158" spans="1:15" ht="12.75">
      <c r="A1158" s="82"/>
      <c r="B1158" s="83"/>
      <c r="C1158" s="83"/>
      <c r="D1158" s="85" t="s">
        <v>7</v>
      </c>
      <c r="G1158" s="86"/>
      <c r="H1158" s="83"/>
      <c r="I1158" s="88">
        <v>1</v>
      </c>
      <c r="J1158" s="83"/>
      <c r="K1158" s="83"/>
      <c r="L1158" s="83"/>
      <c r="M1158" s="83"/>
      <c r="N1158" s="80"/>
      <c r="O1158" s="67"/>
    </row>
    <row r="1159" spans="1:15" ht="12.75">
      <c r="A1159" s="3"/>
      <c r="C1159" s="12" t="s">
        <v>296</v>
      </c>
      <c r="D1159" s="142" t="s">
        <v>869</v>
      </c>
      <c r="E1159" s="143"/>
      <c r="F1159" s="143"/>
      <c r="G1159" s="143"/>
      <c r="H1159" s="143"/>
      <c r="I1159" s="143"/>
      <c r="J1159" s="143"/>
      <c r="K1159" s="143"/>
      <c r="L1159" s="143"/>
      <c r="M1159" s="143"/>
      <c r="N1159" s="144"/>
      <c r="O1159" s="3"/>
    </row>
    <row r="1160" spans="1:64" ht="12.75">
      <c r="A1160" s="81" t="s">
        <v>280</v>
      </c>
      <c r="B1160" s="81" t="s">
        <v>284</v>
      </c>
      <c r="C1160" s="81" t="s">
        <v>582</v>
      </c>
      <c r="D1160" s="139" t="s">
        <v>1321</v>
      </c>
      <c r="E1160" s="134"/>
      <c r="F1160" s="134"/>
      <c r="G1160" s="140"/>
      <c r="H1160" s="81" t="s">
        <v>1540</v>
      </c>
      <c r="I1160" s="87">
        <v>50</v>
      </c>
      <c r="J1160" s="87">
        <v>0</v>
      </c>
      <c r="K1160" s="87">
        <f>I1160*AO1160</f>
        <v>0</v>
      </c>
      <c r="L1160" s="87">
        <f>I1160*AP1160</f>
        <v>0</v>
      </c>
      <c r="M1160" s="87">
        <f>I1160*J1160</f>
        <v>0</v>
      </c>
      <c r="N1160" s="77" t="s">
        <v>1556</v>
      </c>
      <c r="O1160" s="67"/>
      <c r="Z1160" s="28">
        <f>IF(AQ1160="5",BJ1160,0)</f>
        <v>0</v>
      </c>
      <c r="AB1160" s="28">
        <f>IF(AQ1160="1",BH1160,0)</f>
        <v>0</v>
      </c>
      <c r="AC1160" s="28">
        <f>IF(AQ1160="1",BI1160,0)</f>
        <v>0</v>
      </c>
      <c r="AD1160" s="28">
        <f>IF(AQ1160="7",BH1160,0)</f>
        <v>0</v>
      </c>
      <c r="AE1160" s="28">
        <f>IF(AQ1160="7",BI1160,0)</f>
        <v>0</v>
      </c>
      <c r="AF1160" s="28">
        <f>IF(AQ1160="2",BH1160,0)</f>
        <v>0</v>
      </c>
      <c r="AG1160" s="28">
        <f>IF(AQ1160="2",BI1160,0)</f>
        <v>0</v>
      </c>
      <c r="AH1160" s="28">
        <f>IF(AQ1160="0",BJ1160,0)</f>
        <v>0</v>
      </c>
      <c r="AI1160" s="27" t="s">
        <v>284</v>
      </c>
      <c r="AJ1160" s="18">
        <f>IF(AN1160=0,M1160,0)</f>
        <v>0</v>
      </c>
      <c r="AK1160" s="18">
        <f>IF(AN1160=15,M1160,0)</f>
        <v>0</v>
      </c>
      <c r="AL1160" s="18">
        <f>IF(AN1160=21,M1160,0)</f>
        <v>0</v>
      </c>
      <c r="AN1160" s="28">
        <v>15</v>
      </c>
      <c r="AO1160" s="28">
        <f>J1160*0</f>
        <v>0</v>
      </c>
      <c r="AP1160" s="28">
        <f>J1160*(1-0)</f>
        <v>0</v>
      </c>
      <c r="AQ1160" s="29" t="s">
        <v>11</v>
      </c>
      <c r="AV1160" s="28">
        <f>AW1160+AX1160</f>
        <v>0</v>
      </c>
      <c r="AW1160" s="28">
        <f>I1160*AO1160</f>
        <v>0</v>
      </c>
      <c r="AX1160" s="28">
        <f>I1160*AP1160</f>
        <v>0</v>
      </c>
      <c r="AY1160" s="31" t="s">
        <v>1612</v>
      </c>
      <c r="AZ1160" s="31" t="s">
        <v>1627</v>
      </c>
      <c r="BA1160" s="27" t="s">
        <v>1629</v>
      </c>
      <c r="BC1160" s="28">
        <f>AW1160+AX1160</f>
        <v>0</v>
      </c>
      <c r="BD1160" s="28">
        <f>J1160/(100-BE1160)*100</f>
        <v>0</v>
      </c>
      <c r="BE1160" s="28">
        <v>0</v>
      </c>
      <c r="BF1160" s="28">
        <f>1160</f>
        <v>1160</v>
      </c>
      <c r="BH1160" s="18">
        <f>I1160*AO1160</f>
        <v>0</v>
      </c>
      <c r="BI1160" s="18">
        <f>I1160*AP1160</f>
        <v>0</v>
      </c>
      <c r="BJ1160" s="18">
        <f>I1160*J1160</f>
        <v>0</v>
      </c>
      <c r="BK1160" s="18" t="s">
        <v>1634</v>
      </c>
      <c r="BL1160" s="28">
        <v>735</v>
      </c>
    </row>
    <row r="1161" spans="1:15" ht="12.75">
      <c r="A1161" s="82"/>
      <c r="B1161" s="82"/>
      <c r="C1161" s="82"/>
      <c r="D1161" s="85" t="s">
        <v>1322</v>
      </c>
      <c r="E1161" s="11"/>
      <c r="F1161" s="11"/>
      <c r="G1161" s="86"/>
      <c r="H1161" s="82"/>
      <c r="I1161" s="88">
        <v>50</v>
      </c>
      <c r="J1161" s="82"/>
      <c r="K1161" s="82"/>
      <c r="L1161" s="82"/>
      <c r="M1161" s="82"/>
      <c r="N1161" s="80"/>
      <c r="O1161" s="67"/>
    </row>
    <row r="1162" spans="1:14" ht="12.75">
      <c r="A1162" s="67"/>
      <c r="B1162" s="67"/>
      <c r="C1162" s="67"/>
      <c r="D1162" s="67"/>
      <c r="E1162" s="6"/>
      <c r="F1162" s="6"/>
      <c r="G1162" s="67"/>
      <c r="H1162" s="67"/>
      <c r="I1162" s="67"/>
      <c r="J1162" s="67"/>
      <c r="K1162" s="155" t="s">
        <v>1549</v>
      </c>
      <c r="L1162" s="107"/>
      <c r="M1162" s="44">
        <f>M13+M16+M25+M33+M40+M48+M53+M63+M67+M70+M76+M89+M107+M130+M138+M277+M301+M315+M345+M417+M428+M434+M450+M460+M526+M546+M657+M707+M816+M846+M890+M899+M905+M916+M926+M950+M968+M973+M1037+M1047+M1102+M1115+M1129+M1145+M1151+M1156</f>
        <v>0</v>
      </c>
      <c r="N1162" s="67"/>
    </row>
    <row r="1163" ht="11.25" customHeight="1">
      <c r="A1163" s="7" t="s">
        <v>281</v>
      </c>
    </row>
    <row r="1164" spans="1:14" ht="12.75">
      <c r="A1164" s="113"/>
      <c r="B1164" s="105"/>
      <c r="C1164" s="105"/>
      <c r="D1164" s="105"/>
      <c r="E1164" s="105"/>
      <c r="F1164" s="105"/>
      <c r="G1164" s="105"/>
      <c r="H1164" s="105"/>
      <c r="I1164" s="105"/>
      <c r="J1164" s="105"/>
      <c r="K1164" s="105"/>
      <c r="L1164" s="105"/>
      <c r="M1164" s="105"/>
      <c r="N1164" s="105"/>
    </row>
  </sheetData>
  <sheetProtection/>
  <mergeCells count="764">
    <mergeCell ref="A1164:N1164"/>
    <mergeCell ref="D1154:G1154"/>
    <mergeCell ref="D1156:G1156"/>
    <mergeCell ref="D1157:G1157"/>
    <mergeCell ref="D1159:N1159"/>
    <mergeCell ref="D1160:G1160"/>
    <mergeCell ref="K1162:L1162"/>
    <mergeCell ref="D1146:G1146"/>
    <mergeCell ref="D1148:N1148"/>
    <mergeCell ref="D1149:N1149"/>
    <mergeCell ref="D1150:G1150"/>
    <mergeCell ref="D1151:G1151"/>
    <mergeCell ref="D1152:G1152"/>
    <mergeCell ref="D1136:G1136"/>
    <mergeCell ref="D1138:G1138"/>
    <mergeCell ref="D1140:G1140"/>
    <mergeCell ref="D1142:G1142"/>
    <mergeCell ref="D1144:G1144"/>
    <mergeCell ref="D1145:G1145"/>
    <mergeCell ref="D1128:N1128"/>
    <mergeCell ref="D1129:G1129"/>
    <mergeCell ref="D1130:G1130"/>
    <mergeCell ref="D1131:N1131"/>
    <mergeCell ref="D1132:G1132"/>
    <mergeCell ref="D1134:G1134"/>
    <mergeCell ref="D1119:G1119"/>
    <mergeCell ref="D1120:N1120"/>
    <mergeCell ref="D1122:N1122"/>
    <mergeCell ref="D1123:G1123"/>
    <mergeCell ref="D1125:N1125"/>
    <mergeCell ref="D1126:G1126"/>
    <mergeCell ref="D1111:G1111"/>
    <mergeCell ref="D1112:N1112"/>
    <mergeCell ref="D1114:N1114"/>
    <mergeCell ref="D1115:G1115"/>
    <mergeCell ref="D1116:G1116"/>
    <mergeCell ref="D1118:N1118"/>
    <mergeCell ref="D1103:G1103"/>
    <mergeCell ref="D1104:N1104"/>
    <mergeCell ref="D1106:N1106"/>
    <mergeCell ref="D1107:G1107"/>
    <mergeCell ref="D1108:N1108"/>
    <mergeCell ref="D1110:N1110"/>
    <mergeCell ref="D1095:N1095"/>
    <mergeCell ref="D1096:G1096"/>
    <mergeCell ref="D1098:N1098"/>
    <mergeCell ref="D1099:G1099"/>
    <mergeCell ref="D1101:N1101"/>
    <mergeCell ref="D1102:G1102"/>
    <mergeCell ref="D1086:N1086"/>
    <mergeCell ref="D1087:G1087"/>
    <mergeCell ref="D1089:N1089"/>
    <mergeCell ref="D1090:G1090"/>
    <mergeCell ref="D1092:N1092"/>
    <mergeCell ref="D1093:G1093"/>
    <mergeCell ref="D1077:N1077"/>
    <mergeCell ref="D1078:G1078"/>
    <mergeCell ref="D1080:N1080"/>
    <mergeCell ref="D1081:G1081"/>
    <mergeCell ref="D1083:N1083"/>
    <mergeCell ref="D1084:G1084"/>
    <mergeCell ref="D1068:N1068"/>
    <mergeCell ref="D1069:G1069"/>
    <mergeCell ref="D1071:N1071"/>
    <mergeCell ref="D1072:G1072"/>
    <mergeCell ref="D1074:N1074"/>
    <mergeCell ref="D1075:G1075"/>
    <mergeCell ref="D1059:N1059"/>
    <mergeCell ref="D1060:G1060"/>
    <mergeCell ref="D1062:N1062"/>
    <mergeCell ref="D1063:G1063"/>
    <mergeCell ref="D1065:N1065"/>
    <mergeCell ref="D1066:G1066"/>
    <mergeCell ref="D1050:N1050"/>
    <mergeCell ref="D1051:G1051"/>
    <mergeCell ref="D1053:N1053"/>
    <mergeCell ref="D1054:G1054"/>
    <mergeCell ref="D1056:N1056"/>
    <mergeCell ref="D1057:G1057"/>
    <mergeCell ref="D1042:G1042"/>
    <mergeCell ref="D1043:N1043"/>
    <mergeCell ref="D1045:N1045"/>
    <mergeCell ref="D1046:N1046"/>
    <mergeCell ref="D1047:G1047"/>
    <mergeCell ref="D1048:G1048"/>
    <mergeCell ref="D1035:N1035"/>
    <mergeCell ref="D1036:N1036"/>
    <mergeCell ref="D1037:G1037"/>
    <mergeCell ref="D1038:G1038"/>
    <mergeCell ref="D1039:N1039"/>
    <mergeCell ref="D1041:N1041"/>
    <mergeCell ref="D1026:N1026"/>
    <mergeCell ref="D1027:G1027"/>
    <mergeCell ref="D1029:N1029"/>
    <mergeCell ref="D1030:N1030"/>
    <mergeCell ref="D1031:G1031"/>
    <mergeCell ref="D1032:N1032"/>
    <mergeCell ref="D1018:N1018"/>
    <mergeCell ref="D1019:G1019"/>
    <mergeCell ref="D1021:N1021"/>
    <mergeCell ref="D1022:N1022"/>
    <mergeCell ref="D1023:G1023"/>
    <mergeCell ref="D1025:N1025"/>
    <mergeCell ref="D1010:N1010"/>
    <mergeCell ref="D1011:G1011"/>
    <mergeCell ref="D1013:N1013"/>
    <mergeCell ref="D1014:N1014"/>
    <mergeCell ref="D1015:G1015"/>
    <mergeCell ref="D1017:N1017"/>
    <mergeCell ref="D1002:N1002"/>
    <mergeCell ref="D1003:G1003"/>
    <mergeCell ref="D1005:N1005"/>
    <mergeCell ref="D1006:N1006"/>
    <mergeCell ref="D1007:G1007"/>
    <mergeCell ref="D1009:N1009"/>
    <mergeCell ref="D992:N992"/>
    <mergeCell ref="D993:G993"/>
    <mergeCell ref="D996:N996"/>
    <mergeCell ref="D997:N997"/>
    <mergeCell ref="D998:G998"/>
    <mergeCell ref="D1001:N1001"/>
    <mergeCell ref="D983:N983"/>
    <mergeCell ref="D984:G984"/>
    <mergeCell ref="D985:N985"/>
    <mergeCell ref="D987:N987"/>
    <mergeCell ref="D988:G988"/>
    <mergeCell ref="D989:N989"/>
    <mergeCell ref="D974:G974"/>
    <mergeCell ref="D975:N975"/>
    <mergeCell ref="D977:N977"/>
    <mergeCell ref="D978:G978"/>
    <mergeCell ref="D980:N980"/>
    <mergeCell ref="D981:G981"/>
    <mergeCell ref="D967:N967"/>
    <mergeCell ref="D968:G968"/>
    <mergeCell ref="D969:G969"/>
    <mergeCell ref="D970:N970"/>
    <mergeCell ref="D972:N972"/>
    <mergeCell ref="D973:G973"/>
    <mergeCell ref="D958:G958"/>
    <mergeCell ref="D960:N960"/>
    <mergeCell ref="D961:G961"/>
    <mergeCell ref="D963:N963"/>
    <mergeCell ref="D964:G964"/>
    <mergeCell ref="D965:N965"/>
    <mergeCell ref="D950:G950"/>
    <mergeCell ref="D951:G951"/>
    <mergeCell ref="D953:N953"/>
    <mergeCell ref="D954:G954"/>
    <mergeCell ref="D956:N956"/>
    <mergeCell ref="D957:N957"/>
    <mergeCell ref="D940:G940"/>
    <mergeCell ref="D942:G942"/>
    <mergeCell ref="D944:G944"/>
    <mergeCell ref="D946:G946"/>
    <mergeCell ref="D947:N947"/>
    <mergeCell ref="D949:N949"/>
    <mergeCell ref="D926:G926"/>
    <mergeCell ref="D927:G927"/>
    <mergeCell ref="D928:N928"/>
    <mergeCell ref="D932:G932"/>
    <mergeCell ref="D936:G936"/>
    <mergeCell ref="D938:G938"/>
    <mergeCell ref="D909:G909"/>
    <mergeCell ref="D910:N910"/>
    <mergeCell ref="D913:N913"/>
    <mergeCell ref="D914:G914"/>
    <mergeCell ref="D916:G916"/>
    <mergeCell ref="D917:G917"/>
    <mergeCell ref="D900:G900"/>
    <mergeCell ref="D901:N901"/>
    <mergeCell ref="D904:N904"/>
    <mergeCell ref="D905:G905"/>
    <mergeCell ref="D906:G906"/>
    <mergeCell ref="D908:N908"/>
    <mergeCell ref="D891:G891"/>
    <mergeCell ref="D894:N894"/>
    <mergeCell ref="D895:G895"/>
    <mergeCell ref="D896:N896"/>
    <mergeCell ref="D898:N898"/>
    <mergeCell ref="D899:G899"/>
    <mergeCell ref="D881:N881"/>
    <mergeCell ref="D883:N883"/>
    <mergeCell ref="D884:G884"/>
    <mergeCell ref="D887:N887"/>
    <mergeCell ref="D888:G888"/>
    <mergeCell ref="D890:G890"/>
    <mergeCell ref="D874:N874"/>
    <mergeCell ref="D875:N875"/>
    <mergeCell ref="D876:G876"/>
    <mergeCell ref="D878:N878"/>
    <mergeCell ref="D879:N879"/>
    <mergeCell ref="D880:G880"/>
    <mergeCell ref="D863:N863"/>
    <mergeCell ref="D864:G864"/>
    <mergeCell ref="D865:N865"/>
    <mergeCell ref="D868:N868"/>
    <mergeCell ref="D869:N869"/>
    <mergeCell ref="D870:G870"/>
    <mergeCell ref="D851:N851"/>
    <mergeCell ref="D852:G852"/>
    <mergeCell ref="D856:N856"/>
    <mergeCell ref="D857:G857"/>
    <mergeCell ref="D859:N859"/>
    <mergeCell ref="D860:G860"/>
    <mergeCell ref="D842:N842"/>
    <mergeCell ref="D843:N843"/>
    <mergeCell ref="D844:G844"/>
    <mergeCell ref="D846:G846"/>
    <mergeCell ref="D847:G847"/>
    <mergeCell ref="D848:N848"/>
    <mergeCell ref="D832:N832"/>
    <mergeCell ref="D835:N835"/>
    <mergeCell ref="D836:N836"/>
    <mergeCell ref="D837:G837"/>
    <mergeCell ref="D839:N839"/>
    <mergeCell ref="D840:G840"/>
    <mergeCell ref="D822:N822"/>
    <mergeCell ref="D825:N825"/>
    <mergeCell ref="D826:G826"/>
    <mergeCell ref="D827:N827"/>
    <mergeCell ref="D830:N830"/>
    <mergeCell ref="D831:G831"/>
    <mergeCell ref="D814:G814"/>
    <mergeCell ref="D816:G816"/>
    <mergeCell ref="D817:G817"/>
    <mergeCell ref="D819:N819"/>
    <mergeCell ref="D820:N820"/>
    <mergeCell ref="D821:G821"/>
    <mergeCell ref="D806:G806"/>
    <mergeCell ref="D808:N808"/>
    <mergeCell ref="D809:N809"/>
    <mergeCell ref="D810:G810"/>
    <mergeCell ref="D812:N812"/>
    <mergeCell ref="D813:N813"/>
    <mergeCell ref="D799:N799"/>
    <mergeCell ref="D800:N800"/>
    <mergeCell ref="D801:G801"/>
    <mergeCell ref="D803:N803"/>
    <mergeCell ref="D804:N804"/>
    <mergeCell ref="D805:N805"/>
    <mergeCell ref="D791:N791"/>
    <mergeCell ref="D792:N792"/>
    <mergeCell ref="D793:G793"/>
    <mergeCell ref="D795:N795"/>
    <mergeCell ref="D796:N796"/>
    <mergeCell ref="D797:G797"/>
    <mergeCell ref="D783:N783"/>
    <mergeCell ref="D784:G784"/>
    <mergeCell ref="D786:N786"/>
    <mergeCell ref="D787:N787"/>
    <mergeCell ref="D788:N788"/>
    <mergeCell ref="D789:G789"/>
    <mergeCell ref="D775:N775"/>
    <mergeCell ref="D776:N776"/>
    <mergeCell ref="D777:G777"/>
    <mergeCell ref="D779:N779"/>
    <mergeCell ref="D780:G780"/>
    <mergeCell ref="D782:N782"/>
    <mergeCell ref="D767:N767"/>
    <mergeCell ref="D768:N768"/>
    <mergeCell ref="D769:G769"/>
    <mergeCell ref="D771:N771"/>
    <mergeCell ref="D772:N772"/>
    <mergeCell ref="D773:G773"/>
    <mergeCell ref="D759:N759"/>
    <mergeCell ref="D760:G760"/>
    <mergeCell ref="D762:N762"/>
    <mergeCell ref="D763:N763"/>
    <mergeCell ref="D764:G764"/>
    <mergeCell ref="D766:N766"/>
    <mergeCell ref="D750:G750"/>
    <mergeCell ref="D751:N751"/>
    <mergeCell ref="D753:G753"/>
    <mergeCell ref="D755:N755"/>
    <mergeCell ref="D756:G756"/>
    <mergeCell ref="D758:N758"/>
    <mergeCell ref="D741:G741"/>
    <mergeCell ref="D743:N743"/>
    <mergeCell ref="D744:G744"/>
    <mergeCell ref="D746:N746"/>
    <mergeCell ref="D747:G747"/>
    <mergeCell ref="D749:N749"/>
    <mergeCell ref="D732:G732"/>
    <mergeCell ref="D734:N734"/>
    <mergeCell ref="D735:G735"/>
    <mergeCell ref="D737:N737"/>
    <mergeCell ref="D738:G738"/>
    <mergeCell ref="D740:N740"/>
    <mergeCell ref="D723:G723"/>
    <mergeCell ref="D725:N725"/>
    <mergeCell ref="D726:G726"/>
    <mergeCell ref="D728:N728"/>
    <mergeCell ref="D729:G729"/>
    <mergeCell ref="D731:N731"/>
    <mergeCell ref="D714:G714"/>
    <mergeCell ref="D716:N716"/>
    <mergeCell ref="D717:G717"/>
    <mergeCell ref="D719:N719"/>
    <mergeCell ref="D720:G720"/>
    <mergeCell ref="D722:N722"/>
    <mergeCell ref="D705:G705"/>
    <mergeCell ref="D707:G707"/>
    <mergeCell ref="D708:G708"/>
    <mergeCell ref="D710:N710"/>
    <mergeCell ref="D711:G711"/>
    <mergeCell ref="D713:N713"/>
    <mergeCell ref="D697:G697"/>
    <mergeCell ref="D699:N699"/>
    <mergeCell ref="D700:G700"/>
    <mergeCell ref="D701:N701"/>
    <mergeCell ref="D703:N703"/>
    <mergeCell ref="D704:N704"/>
    <mergeCell ref="D688:N688"/>
    <mergeCell ref="D689:G689"/>
    <mergeCell ref="D690:N690"/>
    <mergeCell ref="D692:N692"/>
    <mergeCell ref="D693:G693"/>
    <mergeCell ref="D696:N696"/>
    <mergeCell ref="D679:N679"/>
    <mergeCell ref="D680:G680"/>
    <mergeCell ref="D683:N683"/>
    <mergeCell ref="D684:N684"/>
    <mergeCell ref="D685:G685"/>
    <mergeCell ref="D687:N687"/>
    <mergeCell ref="D671:N671"/>
    <mergeCell ref="D672:G672"/>
    <mergeCell ref="D674:N674"/>
    <mergeCell ref="D675:N675"/>
    <mergeCell ref="D676:G676"/>
    <mergeCell ref="D677:N677"/>
    <mergeCell ref="D663:G663"/>
    <mergeCell ref="D665:N665"/>
    <mergeCell ref="D666:N666"/>
    <mergeCell ref="D667:G667"/>
    <mergeCell ref="D668:N668"/>
    <mergeCell ref="D670:N670"/>
    <mergeCell ref="D652:G652"/>
    <mergeCell ref="D654:N654"/>
    <mergeCell ref="D655:G655"/>
    <mergeCell ref="D657:G657"/>
    <mergeCell ref="D658:G658"/>
    <mergeCell ref="D662:N662"/>
    <mergeCell ref="D643:N643"/>
    <mergeCell ref="D644:N644"/>
    <mergeCell ref="D645:G645"/>
    <mergeCell ref="D647:N647"/>
    <mergeCell ref="D648:G648"/>
    <mergeCell ref="D651:N651"/>
    <mergeCell ref="D634:N634"/>
    <mergeCell ref="D635:N635"/>
    <mergeCell ref="D636:G636"/>
    <mergeCell ref="D639:N639"/>
    <mergeCell ref="D640:N640"/>
    <mergeCell ref="D641:G641"/>
    <mergeCell ref="D624:N624"/>
    <mergeCell ref="D625:G625"/>
    <mergeCell ref="D626:N626"/>
    <mergeCell ref="D629:N629"/>
    <mergeCell ref="D630:N630"/>
    <mergeCell ref="D631:G631"/>
    <mergeCell ref="D608:G608"/>
    <mergeCell ref="D609:N609"/>
    <mergeCell ref="D617:N617"/>
    <mergeCell ref="D618:N618"/>
    <mergeCell ref="D619:G619"/>
    <mergeCell ref="D623:N623"/>
    <mergeCell ref="D601:N601"/>
    <mergeCell ref="D602:N602"/>
    <mergeCell ref="D603:G603"/>
    <mergeCell ref="D604:N604"/>
    <mergeCell ref="D606:N606"/>
    <mergeCell ref="D607:N607"/>
    <mergeCell ref="D593:N593"/>
    <mergeCell ref="D594:N594"/>
    <mergeCell ref="D595:G595"/>
    <mergeCell ref="D596:N596"/>
    <mergeCell ref="D598:N598"/>
    <mergeCell ref="D599:G599"/>
    <mergeCell ref="D577:G577"/>
    <mergeCell ref="D578:N578"/>
    <mergeCell ref="D580:N580"/>
    <mergeCell ref="D581:N581"/>
    <mergeCell ref="D582:G582"/>
    <mergeCell ref="D583:N583"/>
    <mergeCell ref="D570:N570"/>
    <mergeCell ref="D571:N571"/>
    <mergeCell ref="D572:G572"/>
    <mergeCell ref="D573:N573"/>
    <mergeCell ref="D575:N575"/>
    <mergeCell ref="D576:N576"/>
    <mergeCell ref="D561:G561"/>
    <mergeCell ref="D562:N562"/>
    <mergeCell ref="D565:N565"/>
    <mergeCell ref="D566:N566"/>
    <mergeCell ref="D567:G567"/>
    <mergeCell ref="D568:N568"/>
    <mergeCell ref="D547:G547"/>
    <mergeCell ref="D548:N548"/>
    <mergeCell ref="D556:N556"/>
    <mergeCell ref="D557:N557"/>
    <mergeCell ref="D558:G558"/>
    <mergeCell ref="D560:N560"/>
    <mergeCell ref="D536:G536"/>
    <mergeCell ref="D539:N539"/>
    <mergeCell ref="D540:N540"/>
    <mergeCell ref="D541:G541"/>
    <mergeCell ref="D544:G544"/>
    <mergeCell ref="D546:G546"/>
    <mergeCell ref="D528:N528"/>
    <mergeCell ref="D530:N530"/>
    <mergeCell ref="D531:N531"/>
    <mergeCell ref="D532:G532"/>
    <mergeCell ref="D533:N533"/>
    <mergeCell ref="D535:N535"/>
    <mergeCell ref="D520:N520"/>
    <mergeCell ref="D521:G521"/>
    <mergeCell ref="D523:N523"/>
    <mergeCell ref="D524:G524"/>
    <mergeCell ref="D526:G526"/>
    <mergeCell ref="D527:G527"/>
    <mergeCell ref="D512:N512"/>
    <mergeCell ref="D513:G513"/>
    <mergeCell ref="D514:N514"/>
    <mergeCell ref="D516:N516"/>
    <mergeCell ref="D517:G517"/>
    <mergeCell ref="D519:N519"/>
    <mergeCell ref="D504:N504"/>
    <mergeCell ref="D505:G505"/>
    <mergeCell ref="D506:N506"/>
    <mergeCell ref="D508:N508"/>
    <mergeCell ref="D509:N509"/>
    <mergeCell ref="D510:G510"/>
    <mergeCell ref="D496:N496"/>
    <mergeCell ref="D497:G497"/>
    <mergeCell ref="D499:N499"/>
    <mergeCell ref="D500:N500"/>
    <mergeCell ref="D501:G501"/>
    <mergeCell ref="D502:N502"/>
    <mergeCell ref="D485:G485"/>
    <mergeCell ref="D488:N488"/>
    <mergeCell ref="D489:G489"/>
    <mergeCell ref="D491:N491"/>
    <mergeCell ref="D492:G492"/>
    <mergeCell ref="D495:N495"/>
    <mergeCell ref="D475:N475"/>
    <mergeCell ref="D476:N476"/>
    <mergeCell ref="D477:G477"/>
    <mergeCell ref="D478:N478"/>
    <mergeCell ref="D483:N483"/>
    <mergeCell ref="D484:N484"/>
    <mergeCell ref="D462:N462"/>
    <mergeCell ref="D465:N465"/>
    <mergeCell ref="D466:N466"/>
    <mergeCell ref="D467:G467"/>
    <mergeCell ref="D470:N470"/>
    <mergeCell ref="D471:G471"/>
    <mergeCell ref="D454:G454"/>
    <mergeCell ref="D456:N456"/>
    <mergeCell ref="D457:N457"/>
    <mergeCell ref="D458:G458"/>
    <mergeCell ref="D460:G460"/>
    <mergeCell ref="D461:G461"/>
    <mergeCell ref="D446:N446"/>
    <mergeCell ref="D447:N447"/>
    <mergeCell ref="D448:G448"/>
    <mergeCell ref="D450:G450"/>
    <mergeCell ref="D451:G451"/>
    <mergeCell ref="D453:N453"/>
    <mergeCell ref="D437:N437"/>
    <mergeCell ref="D438:G438"/>
    <mergeCell ref="D440:N440"/>
    <mergeCell ref="D441:G441"/>
    <mergeCell ref="D443:N443"/>
    <mergeCell ref="D444:G444"/>
    <mergeCell ref="D428:G428"/>
    <mergeCell ref="D429:G429"/>
    <mergeCell ref="D431:N431"/>
    <mergeCell ref="D432:G432"/>
    <mergeCell ref="D434:G434"/>
    <mergeCell ref="D435:G435"/>
    <mergeCell ref="D420:N420"/>
    <mergeCell ref="D421:G421"/>
    <mergeCell ref="D422:N422"/>
    <mergeCell ref="D424:N424"/>
    <mergeCell ref="D425:N425"/>
    <mergeCell ref="D426:G426"/>
    <mergeCell ref="D412:N412"/>
    <mergeCell ref="D413:N413"/>
    <mergeCell ref="D414:G414"/>
    <mergeCell ref="D416:N416"/>
    <mergeCell ref="D417:G417"/>
    <mergeCell ref="D418:G418"/>
    <mergeCell ref="D401:N401"/>
    <mergeCell ref="D402:G402"/>
    <mergeCell ref="D403:N403"/>
    <mergeCell ref="D406:N406"/>
    <mergeCell ref="D407:N407"/>
    <mergeCell ref="D408:G408"/>
    <mergeCell ref="D390:G390"/>
    <mergeCell ref="D391:N391"/>
    <mergeCell ref="D394:N394"/>
    <mergeCell ref="D395:N395"/>
    <mergeCell ref="D396:G396"/>
    <mergeCell ref="D400:N400"/>
    <mergeCell ref="D381:G381"/>
    <mergeCell ref="D382:N382"/>
    <mergeCell ref="D384:N384"/>
    <mergeCell ref="D385:G385"/>
    <mergeCell ref="D386:N386"/>
    <mergeCell ref="D389:N389"/>
    <mergeCell ref="D371:G371"/>
    <mergeCell ref="D372:N372"/>
    <mergeCell ref="D375:N375"/>
    <mergeCell ref="D376:G376"/>
    <mergeCell ref="D377:N377"/>
    <mergeCell ref="D380:N380"/>
    <mergeCell ref="D360:G360"/>
    <mergeCell ref="D361:N361"/>
    <mergeCell ref="D364:N364"/>
    <mergeCell ref="D365:G365"/>
    <mergeCell ref="D369:N369"/>
    <mergeCell ref="D370:N370"/>
    <mergeCell ref="D351:G351"/>
    <mergeCell ref="D353:N353"/>
    <mergeCell ref="D354:N354"/>
    <mergeCell ref="D355:G355"/>
    <mergeCell ref="D358:N358"/>
    <mergeCell ref="D359:N359"/>
    <mergeCell ref="D343:G343"/>
    <mergeCell ref="D345:G345"/>
    <mergeCell ref="D346:G346"/>
    <mergeCell ref="D347:N347"/>
    <mergeCell ref="D349:N349"/>
    <mergeCell ref="D350:N350"/>
    <mergeCell ref="D334:N334"/>
    <mergeCell ref="D335:G335"/>
    <mergeCell ref="D336:N336"/>
    <mergeCell ref="D338:N338"/>
    <mergeCell ref="D339:G339"/>
    <mergeCell ref="D342:N342"/>
    <mergeCell ref="D324:N324"/>
    <mergeCell ref="D325:G325"/>
    <mergeCell ref="D326:N326"/>
    <mergeCell ref="D329:N329"/>
    <mergeCell ref="D330:G330"/>
    <mergeCell ref="D331:N331"/>
    <mergeCell ref="D314:N314"/>
    <mergeCell ref="D315:G315"/>
    <mergeCell ref="D316:G316"/>
    <mergeCell ref="D317:N317"/>
    <mergeCell ref="D320:N320"/>
    <mergeCell ref="D321:G321"/>
    <mergeCell ref="D299:N299"/>
    <mergeCell ref="D300:N300"/>
    <mergeCell ref="D301:G301"/>
    <mergeCell ref="D302:G302"/>
    <mergeCell ref="D303:N303"/>
    <mergeCell ref="D313:N313"/>
    <mergeCell ref="D288:G288"/>
    <mergeCell ref="D289:N289"/>
    <mergeCell ref="D292:N292"/>
    <mergeCell ref="D293:G293"/>
    <mergeCell ref="D296:N296"/>
    <mergeCell ref="D297:G297"/>
    <mergeCell ref="D278:G278"/>
    <mergeCell ref="D279:N279"/>
    <mergeCell ref="D282:N282"/>
    <mergeCell ref="D283:G283"/>
    <mergeCell ref="D284:N284"/>
    <mergeCell ref="D287:N287"/>
    <mergeCell ref="D270:N270"/>
    <mergeCell ref="D272:N272"/>
    <mergeCell ref="D273:N273"/>
    <mergeCell ref="D274:G274"/>
    <mergeCell ref="D275:N275"/>
    <mergeCell ref="D277:G277"/>
    <mergeCell ref="D262:G262"/>
    <mergeCell ref="D264:G264"/>
    <mergeCell ref="D265:N265"/>
    <mergeCell ref="D267:N267"/>
    <mergeCell ref="D268:N268"/>
    <mergeCell ref="D269:G269"/>
    <mergeCell ref="D254:N254"/>
    <mergeCell ref="D255:N255"/>
    <mergeCell ref="D256:G256"/>
    <mergeCell ref="D257:N257"/>
    <mergeCell ref="D260:N260"/>
    <mergeCell ref="D261:N261"/>
    <mergeCell ref="D239:N239"/>
    <mergeCell ref="D240:N240"/>
    <mergeCell ref="D241:G241"/>
    <mergeCell ref="D246:N246"/>
    <mergeCell ref="D247:N247"/>
    <mergeCell ref="D248:G248"/>
    <mergeCell ref="D230:N230"/>
    <mergeCell ref="D231:N231"/>
    <mergeCell ref="D232:G232"/>
    <mergeCell ref="D235:N235"/>
    <mergeCell ref="D236:G236"/>
    <mergeCell ref="D237:N237"/>
    <mergeCell ref="D221:G221"/>
    <mergeCell ref="D222:N222"/>
    <mergeCell ref="D225:N225"/>
    <mergeCell ref="D226:N226"/>
    <mergeCell ref="D227:G227"/>
    <mergeCell ref="D228:N228"/>
    <mergeCell ref="D214:N214"/>
    <mergeCell ref="D215:N215"/>
    <mergeCell ref="D216:G216"/>
    <mergeCell ref="D217:N217"/>
    <mergeCell ref="D219:N219"/>
    <mergeCell ref="D220:N220"/>
    <mergeCell ref="D203:G203"/>
    <mergeCell ref="D204:N204"/>
    <mergeCell ref="D208:N208"/>
    <mergeCell ref="D209:N209"/>
    <mergeCell ref="D210:G210"/>
    <mergeCell ref="D211:N211"/>
    <mergeCell ref="D189:N189"/>
    <mergeCell ref="D192:N192"/>
    <mergeCell ref="D193:G193"/>
    <mergeCell ref="D194:N194"/>
    <mergeCell ref="D201:N201"/>
    <mergeCell ref="D202:N202"/>
    <mergeCell ref="D179:N179"/>
    <mergeCell ref="D180:G180"/>
    <mergeCell ref="D183:N183"/>
    <mergeCell ref="D184:G184"/>
    <mergeCell ref="D187:N187"/>
    <mergeCell ref="D188:G188"/>
    <mergeCell ref="D169:G169"/>
    <mergeCell ref="D171:N171"/>
    <mergeCell ref="D172:N172"/>
    <mergeCell ref="D173:G173"/>
    <mergeCell ref="D175:N175"/>
    <mergeCell ref="D176:G176"/>
    <mergeCell ref="D159:N159"/>
    <mergeCell ref="D161:N161"/>
    <mergeCell ref="D162:G162"/>
    <mergeCell ref="D165:N165"/>
    <mergeCell ref="D166:G166"/>
    <mergeCell ref="D168:N168"/>
    <mergeCell ref="D151:G151"/>
    <mergeCell ref="D153:N153"/>
    <mergeCell ref="D154:G154"/>
    <mergeCell ref="D155:N155"/>
    <mergeCell ref="D157:N157"/>
    <mergeCell ref="D158:G158"/>
    <mergeCell ref="D138:G138"/>
    <mergeCell ref="D139:G139"/>
    <mergeCell ref="D140:N140"/>
    <mergeCell ref="D142:N142"/>
    <mergeCell ref="D143:G143"/>
    <mergeCell ref="D150:N150"/>
    <mergeCell ref="D130:G130"/>
    <mergeCell ref="D131:G131"/>
    <mergeCell ref="D132:N132"/>
    <mergeCell ref="D134:N134"/>
    <mergeCell ref="D135:N135"/>
    <mergeCell ref="D136:G136"/>
    <mergeCell ref="D120:N120"/>
    <mergeCell ref="D121:G121"/>
    <mergeCell ref="D124:N124"/>
    <mergeCell ref="D125:G125"/>
    <mergeCell ref="D126:N126"/>
    <mergeCell ref="D129:N129"/>
    <mergeCell ref="D106:N106"/>
    <mergeCell ref="D107:G107"/>
    <mergeCell ref="D108:G108"/>
    <mergeCell ref="D109:N109"/>
    <mergeCell ref="D114:N114"/>
    <mergeCell ref="D115:G115"/>
    <mergeCell ref="D96:N96"/>
    <mergeCell ref="D98:N98"/>
    <mergeCell ref="D99:N99"/>
    <mergeCell ref="D100:G100"/>
    <mergeCell ref="D103:N103"/>
    <mergeCell ref="D104:G104"/>
    <mergeCell ref="D88:N88"/>
    <mergeCell ref="D89:G89"/>
    <mergeCell ref="D90:G90"/>
    <mergeCell ref="D91:N91"/>
    <mergeCell ref="D94:N94"/>
    <mergeCell ref="D95:G95"/>
    <mergeCell ref="D78:N78"/>
    <mergeCell ref="D82:N82"/>
    <mergeCell ref="D83:N83"/>
    <mergeCell ref="D84:G84"/>
    <mergeCell ref="D85:N85"/>
    <mergeCell ref="D87:N87"/>
    <mergeCell ref="D70:G70"/>
    <mergeCell ref="D71:G71"/>
    <mergeCell ref="D72:N72"/>
    <mergeCell ref="D75:N75"/>
    <mergeCell ref="D76:G76"/>
    <mergeCell ref="D77:G77"/>
    <mergeCell ref="D62:N62"/>
    <mergeCell ref="D63:G63"/>
    <mergeCell ref="D64:G64"/>
    <mergeCell ref="D65:N65"/>
    <mergeCell ref="D67:G67"/>
    <mergeCell ref="D68:G68"/>
    <mergeCell ref="D51:N51"/>
    <mergeCell ref="D52:N52"/>
    <mergeCell ref="D53:G53"/>
    <mergeCell ref="D54:G54"/>
    <mergeCell ref="D58:N58"/>
    <mergeCell ref="D59:G59"/>
    <mergeCell ref="D41:G41"/>
    <mergeCell ref="D44:N44"/>
    <mergeCell ref="D45:G45"/>
    <mergeCell ref="D47:N47"/>
    <mergeCell ref="D48:G48"/>
    <mergeCell ref="D49:G49"/>
    <mergeCell ref="D32:N32"/>
    <mergeCell ref="D33:G33"/>
    <mergeCell ref="D34:G34"/>
    <mergeCell ref="D35:N35"/>
    <mergeCell ref="D39:N39"/>
    <mergeCell ref="D40:G40"/>
    <mergeCell ref="D23:G23"/>
    <mergeCell ref="D24:G24"/>
    <mergeCell ref="D25:G25"/>
    <mergeCell ref="D26:G26"/>
    <mergeCell ref="D29:N29"/>
    <mergeCell ref="D30:G30"/>
    <mergeCell ref="D15:N15"/>
    <mergeCell ref="D16:G16"/>
    <mergeCell ref="D17:G17"/>
    <mergeCell ref="D19:G19"/>
    <mergeCell ref="D21:G21"/>
    <mergeCell ref="D22:G22"/>
    <mergeCell ref="D10:G10"/>
    <mergeCell ref="K10:M10"/>
    <mergeCell ref="D11:G11"/>
    <mergeCell ref="D12:G12"/>
    <mergeCell ref="D13:G13"/>
    <mergeCell ref="D14:G14"/>
    <mergeCell ref="A8:C9"/>
    <mergeCell ref="D8:D9"/>
    <mergeCell ref="E8:E9"/>
    <mergeCell ref="F8:F9"/>
    <mergeCell ref="G8:G9"/>
    <mergeCell ref="H8:N9"/>
    <mergeCell ref="A6:C7"/>
    <mergeCell ref="D6:D7"/>
    <mergeCell ref="E6:E7"/>
    <mergeCell ref="F6:F7"/>
    <mergeCell ref="G6:G7"/>
    <mergeCell ref="H6:N7"/>
    <mergeCell ref="A4:C5"/>
    <mergeCell ref="D4:D5"/>
    <mergeCell ref="E4:E5"/>
    <mergeCell ref="F4:F5"/>
    <mergeCell ref="G4:G5"/>
    <mergeCell ref="H4:N5"/>
    <mergeCell ref="A1:N1"/>
    <mergeCell ref="A2:C3"/>
    <mergeCell ref="D2:D3"/>
    <mergeCell ref="E2:E3"/>
    <mergeCell ref="F2:F3"/>
    <mergeCell ref="G2:G3"/>
    <mergeCell ref="H2:N3"/>
  </mergeCells>
  <printOptions/>
  <pageMargins left="0.394" right="0.394" top="0.591" bottom="0.591" header="0.5" footer="0.5"/>
  <pageSetup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Tomáš Sýkora</cp:lastModifiedBy>
  <dcterms:modified xsi:type="dcterms:W3CDTF">2022-06-09T06:48:37Z</dcterms:modified>
  <cp:category/>
  <cp:version/>
  <cp:contentType/>
  <cp:contentStatus/>
</cp:coreProperties>
</file>